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C:\Users\dillmana\Documents\Grant Park CUSD #6\District\"/>
    </mc:Choice>
  </mc:AlternateContent>
  <bookViews>
    <workbookView xWindow="0" yWindow="0" windowWidth="28800" windowHeight="12300" tabRatio="93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F6933" i="87" a="1"/>
  <c r="F799" i="87" a="1"/>
  <c r="F5550" i="87" a="1"/>
  <c r="F4025" i="87" a="1"/>
  <c r="F7868" i="87" a="1"/>
  <c r="F5937" i="87" a="1"/>
  <c r="F6798" i="87" a="1"/>
  <c r="F2923" i="87" a="1"/>
  <c r="F5028" i="87" a="1"/>
  <c r="F3312" i="87" a="1"/>
  <c r="F3429" i="87" a="1"/>
  <c r="F7016" i="87" a="1"/>
  <c r="F4365" i="87" a="1"/>
  <c r="F6086" i="87" a="1"/>
  <c r="F269" i="87" a="1"/>
  <c r="F5743" i="87" a="1"/>
  <c r="F4159" i="87" a="1"/>
  <c r="F4966" i="87" a="1"/>
  <c r="F7718" i="87" a="1"/>
  <c r="F3313" i="87" a="1"/>
  <c r="F6368" i="87" a="1"/>
  <c r="F6832" i="87" a="1"/>
  <c r="F7429" i="87" a="1"/>
  <c r="F811" i="87" a="1"/>
  <c r="F1212" i="87" a="1"/>
  <c r="F3318" i="87" a="1"/>
  <c r="F6823" i="87" a="1"/>
  <c r="F861" i="87" a="1"/>
  <c r="F5314" i="87" a="1"/>
  <c r="F6950" i="87" a="1"/>
  <c r="F7407" i="87" a="1"/>
  <c r="F6238" i="87" a="1"/>
  <c r="F1189" i="87" a="1"/>
  <c r="F6747" i="87" a="1"/>
  <c r="F1310" i="87" a="1"/>
  <c r="F5037" i="87" a="1"/>
  <c r="F7194" i="87" a="1"/>
  <c r="F83" i="87" a="1"/>
  <c r="F2766" i="87" a="1"/>
  <c r="F4760" i="87" a="1"/>
  <c r="F6120" i="87" a="1"/>
  <c r="F1386" i="87" a="1"/>
  <c r="F4076" i="87" a="1"/>
  <c r="F973" i="87" a="1"/>
  <c r="F3239" i="87" a="1"/>
  <c r="F7700" i="87" a="1"/>
  <c r="F834" i="87" a="1"/>
  <c r="F6164" i="87" a="1"/>
  <c r="F7498" i="87" a="1"/>
  <c r="F788" i="87" a="1"/>
  <c r="F6730" i="87" a="1"/>
  <c r="F5932" i="87" a="1"/>
  <c r="F6296" i="87" a="1"/>
  <c r="F6626" i="87" a="1"/>
  <c r="F5077" i="87" a="1"/>
  <c r="F6783" i="87" a="1"/>
  <c r="F7852" i="87" a="1"/>
  <c r="F1384" i="87" a="1"/>
  <c r="F6525" i="87" a="1"/>
  <c r="F7505" i="87" a="1"/>
  <c r="F7338" i="87" a="1"/>
  <c r="F5121" i="87" a="1"/>
  <c r="F6937" i="87" a="1"/>
  <c r="F103" i="87" a="1"/>
  <c r="F4284" i="87" a="1"/>
  <c r="F5284" i="87" a="1"/>
  <c r="F776" i="87" a="1"/>
  <c r="F6137" i="87" a="1"/>
  <c r="F4748" i="87" a="1"/>
  <c r="F6848" i="87" a="1"/>
  <c r="F674" i="87" a="1"/>
  <c r="F995" i="87" a="1"/>
  <c r="F6822" i="87" a="1"/>
  <c r="F5522" i="87" a="1"/>
  <c r="F562" i="87" a="1"/>
  <c r="F7713" i="87" a="1"/>
  <c r="F1374" i="87" a="1"/>
  <c r="F6697" i="87" a="1"/>
  <c r="F6761" i="87" a="1"/>
  <c r="F6828" i="87" a="1"/>
  <c r="F7437" i="87" a="1"/>
  <c r="F6960" i="87" a="1"/>
  <c r="F1475" i="87" a="1"/>
  <c r="F6106" i="87" a="1"/>
  <c r="F5553" i="87" a="1"/>
  <c r="F3203" i="87" a="1"/>
  <c r="F5930" i="87" a="1"/>
  <c r="F6085" i="87" a="1"/>
  <c r="F6882" i="87" a="1"/>
  <c r="F5821" i="87" a="1"/>
  <c r="F4746" i="87" a="1"/>
  <c r="F5468" i="87" a="1"/>
  <c r="F939" i="87" a="1"/>
  <c r="F3317" i="87" a="1"/>
  <c r="F6273" i="87" a="1"/>
  <c r="F3426" i="87" a="1"/>
  <c r="F3531" i="87" a="1"/>
  <c r="F5649" i="87" a="1"/>
  <c r="F4124" i="87" a="1"/>
  <c r="F7658" i="87" a="1"/>
  <c r="F892" i="87" a="1"/>
  <c r="F7630" i="87" a="1"/>
  <c r="F790" i="87" a="1"/>
  <c r="F7259" i="87" a="1"/>
  <c r="F6132" i="87" a="1"/>
  <c r="F5983" i="87" a="1"/>
  <c r="F6271" i="87" a="1"/>
  <c r="F108" i="87" a="1"/>
  <c r="F7123" i="87" a="1"/>
  <c r="F669" i="87" a="1"/>
  <c r="F4300" i="87" a="1"/>
  <c r="F5050" i="87" a="1"/>
  <c r="F6017" i="87" a="1"/>
  <c r="F7689" i="87" a="1"/>
  <c r="F6725" i="87" a="1"/>
  <c r="F808" i="87" a="1"/>
  <c r="F5024" i="87" a="1"/>
  <c r="F4745" i="87" a="1"/>
  <c r="F2940" i="87" a="1"/>
  <c r="F3434" i="87" a="1"/>
  <c r="F4860" i="87" a="1"/>
  <c r="F724" i="87" a="1"/>
  <c r="F1307" i="87" a="1"/>
  <c r="F6195" i="87" a="1"/>
  <c r="F1204" i="87" a="1"/>
  <c r="F6917" i="87" a="1"/>
  <c r="F6009" i="87" a="1"/>
  <c r="F6371" i="87" a="1"/>
  <c r="F6720" i="87" a="1"/>
  <c r="F5934" i="87" a="1"/>
  <c r="F6706" i="87" a="1"/>
  <c r="F6702" i="87" a="1"/>
  <c r="F865" i="87" a="1"/>
  <c r="F6815" i="87" a="1"/>
  <c r="F4257" i="87" a="1"/>
  <c r="F6523" i="87" a="1"/>
  <c r="F3181" i="87" a="1"/>
  <c r="F7195" i="87" a="1"/>
  <c r="F6224" i="87" a="1"/>
  <c r="F7603" i="87" a="1"/>
  <c r="F4143" i="87" a="1"/>
  <c r="F7488" i="87" a="1"/>
  <c r="F7590" i="87" a="1"/>
  <c r="F7867" i="87" a="1"/>
  <c r="F6240" i="87" a="1"/>
  <c r="F5192" i="87" a="1"/>
  <c r="F2667" i="87" a="1"/>
  <c r="F1350" i="87" a="1"/>
  <c r="F741" i="87" a="1"/>
  <c r="F950" i="87" a="1"/>
  <c r="F6131" i="87" a="1"/>
  <c r="F1163" i="87" a="1"/>
  <c r="F5276" i="87" a="1"/>
  <c r="F1359" i="87" a="1"/>
  <c r="F6109" i="87" a="1"/>
  <c r="F5861" i="87" a="1"/>
  <c r="F5038" i="87" a="1"/>
  <c r="F6782" i="87" a="1"/>
  <c r="F7732" i="87" a="1"/>
  <c r="F6846" i="87" a="1"/>
  <c r="F6280" i="87" a="1"/>
  <c r="F26" i="87" a="1"/>
  <c r="F5183" i="87" a="1"/>
  <c r="F7035" i="87" a="1"/>
  <c r="F7442" i="87" a="1"/>
  <c r="F2943" i="87" a="1"/>
  <c r="F5455" i="87" a="1"/>
  <c r="F3182" i="87" a="1"/>
  <c r="F7663" i="87" a="1"/>
  <c r="F7378" i="87" a="1"/>
  <c r="F6732" i="87" a="1"/>
  <c r="F6316" i="87" a="1"/>
  <c r="F3174" i="87" a="1"/>
  <c r="F4743" i="87" a="1"/>
  <c r="F5679" i="87" a="1"/>
  <c r="F6192" i="87" a="1"/>
  <c r="F6896" i="87" a="1"/>
  <c r="F5497" i="87" a="1"/>
  <c r="F5272" i="87" a="1"/>
  <c r="F7552" i="87" a="1"/>
  <c r="F7386" i="87" a="1"/>
  <c r="F6298" i="87" a="1"/>
  <c r="F6047" i="87" a="1"/>
  <c r="F6100" i="87" a="1"/>
  <c r="F5519" i="87" a="1"/>
  <c r="F3178" i="87" a="1"/>
  <c r="F6245" i="87" a="1"/>
  <c r="F6272" i="87" a="1"/>
  <c r="F4758" i="87" a="1"/>
  <c r="F5609" i="87" a="1"/>
  <c r="F5608" i="87" a="1"/>
  <c r="F1171" i="87" a="1"/>
  <c r="F7596" i="87" a="1"/>
  <c r="F726" i="87" a="1"/>
  <c r="F789" i="87" a="1"/>
  <c r="F7302" i="87" a="1"/>
  <c r="F7849" i="87" a="1"/>
  <c r="F5078" i="87" a="1"/>
  <c r="F7605" i="87" a="1"/>
  <c r="F6412" i="87" a="1"/>
  <c r="F7604" i="87" a="1"/>
  <c r="F7662" i="87" a="1"/>
  <c r="F5177" i="87" a="1"/>
  <c r="F6222" i="87" a="1"/>
  <c r="F2936" i="87" a="1"/>
  <c r="F6811" i="87" a="1"/>
  <c r="F3571" i="87" a="1"/>
  <c r="F5533" i="87" a="1"/>
  <c r="F7670" i="87" a="1"/>
  <c r="F2771" i="87" a="1"/>
  <c r="F7542" i="87" a="1"/>
  <c r="F6765" i="87" a="1"/>
  <c r="F2939" i="87" a="1"/>
  <c r="F6778" i="87" a="1"/>
  <c r="F7503" i="87" a="1"/>
  <c r="F7450" i="87" a="1"/>
  <c r="F7574" i="87" a="1"/>
  <c r="F6791" i="87" a="1"/>
  <c r="F777" i="87" a="1"/>
  <c r="F5641" i="87" a="1"/>
  <c r="F7561" i="87" a="1"/>
  <c r="F1197" i="87" a="1"/>
  <c r="F6122" i="87" a="1"/>
  <c r="F6261" i="87" a="1"/>
  <c r="F6748" i="87" a="1"/>
  <c r="F917" i="87" a="1"/>
  <c r="F7555" i="87" a="1"/>
  <c r="F6153" i="87" a="1"/>
  <c r="F7361" i="87" a="1"/>
  <c r="F6961" i="87" a="1"/>
  <c r="F4172" i="87" a="1"/>
  <c r="F6604" i="87" a="1"/>
  <c r="F6188" i="87" a="1"/>
  <c r="F6167" i="87" a="1"/>
  <c r="F7414" i="87" a="1"/>
  <c r="F6744" i="87" a="1"/>
  <c r="F6736" i="87" a="1"/>
  <c r="F5544" i="87" a="1"/>
  <c r="F6956" i="87" a="1"/>
  <c r="F967" i="87" a="1"/>
  <c r="F5797" i="87" a="1"/>
  <c r="F7731" i="87" a="1"/>
  <c r="F3314" i="87" a="1"/>
  <c r="F5008" i="87" a="1"/>
  <c r="F6958" i="87" a="1"/>
  <c r="F7865" i="87" a="1"/>
  <c r="F7374" i="87" a="1"/>
  <c r="F1209" i="87" a="1"/>
  <c r="F6819" i="87" a="1"/>
  <c r="F3204" i="87" a="1"/>
  <c r="F3476" i="87" a="1"/>
  <c r="F734" i="87" a="1"/>
  <c r="F3000" i="87" a="1"/>
  <c r="F3320" i="87" a="1"/>
  <c r="F6949" i="87" a="1"/>
  <c r="F5366" i="87" a="1"/>
  <c r="F7562" i="87" a="1"/>
  <c r="F4890" i="87" a="1"/>
  <c r="F5294" i="87" a="1"/>
  <c r="F737" i="87" a="1"/>
  <c r="F6971" i="87" a="1"/>
  <c r="F1256" i="87" a="1"/>
  <c r="F6334" i="87" a="1"/>
  <c r="F679" i="87" a="1"/>
  <c r="F1294" i="87" a="1"/>
  <c r="F6152" i="87" a="1"/>
  <c r="F7202" i="87" a="1"/>
  <c r="F6701" i="87" a="1"/>
  <c r="F7582" i="87" a="1"/>
  <c r="F7856" i="87" a="1"/>
  <c r="F5827" i="87" a="1"/>
  <c r="F3530" i="87" a="1"/>
  <c r="F7451" i="87" a="1"/>
  <c r="F7640" i="87" a="1"/>
  <c r="F6112" i="87" a="1"/>
  <c r="F6134" i="87" a="1"/>
  <c r="F6727" i="87" a="1"/>
  <c r="F719" i="87" a="1"/>
  <c r="F7583" i="87" a="1"/>
  <c r="F6315" i="87" a="1"/>
  <c r="F6204" i="87" a="1"/>
  <c r="F6338" i="87" a="1"/>
  <c r="F3242" i="87" a="1"/>
  <c r="F6993" i="87" a="1"/>
  <c r="F7721" i="87" a="1"/>
  <c r="F7281" i="87" a="1"/>
  <c r="F3366" i="87" a="1"/>
  <c r="F5538" i="87" a="1"/>
  <c r="F698" i="87" a="1"/>
  <c r="F6804" i="87" a="1"/>
  <c r="F7579" i="87" a="1"/>
  <c r="F7112" i="87" a="1"/>
  <c r="F6743" i="87" a="1"/>
  <c r="F4272" i="87" a="1"/>
  <c r="F4123" i="87" a="1"/>
  <c r="F7415" i="87" a="1"/>
  <c r="F6879" i="87" a="1"/>
  <c r="F1561" i="87" a="1"/>
  <c r="F914" i="87" a="1"/>
  <c r="F5676" i="87" a="1"/>
  <c r="F7354" i="87" a="1"/>
  <c r="F7399" i="87" a="1"/>
  <c r="F6282" i="87" a="1"/>
  <c r="F7025" i="87" a="1"/>
  <c r="F5527" i="87" a="1"/>
  <c r="F3241" i="87" a="1"/>
  <c r="F7337" i="87" a="1"/>
  <c r="F7241" i="87" a="1"/>
  <c r="F6773" i="87" a="1"/>
  <c r="F6168" i="87" a="1"/>
  <c r="F6774" i="87" a="1"/>
  <c r="F6807" i="87" a="1"/>
  <c r="F962" i="87" a="1"/>
  <c r="F7744" i="87" a="1"/>
  <c r="F7600" i="87" a="1"/>
  <c r="F4324" i="87" a="1"/>
  <c r="F6951" i="87" a="1"/>
  <c r="F6611" i="87" a="1"/>
  <c r="F7635" i="87" a="1"/>
  <c r="F7729" i="87" a="1"/>
  <c r="F2925" i="87" a="1"/>
  <c r="F7456" i="87" a="1"/>
  <c r="F7530" i="87" a="1"/>
  <c r="F7752" i="87" a="1"/>
  <c r="F806" i="87" a="1"/>
  <c r="F7193" i="87" a="1"/>
  <c r="F922" i="87" a="1"/>
  <c r="F7745" i="87" a="1"/>
  <c r="F7012" i="87" a="1"/>
  <c r="F7064" i="87" a="1"/>
  <c r="F5975" i="87" a="1"/>
  <c r="F6278" i="87" a="1"/>
  <c r="F7385" i="87" a="1"/>
  <c r="F2" i="87" a="1"/>
  <c r="F1366" i="87" a="1"/>
  <c r="F1481" i="87" a="1"/>
  <c r="F4260" i="87" a="1"/>
  <c r="F5734" i="87" a="1"/>
  <c r="F6872" i="87" a="1"/>
  <c r="F20" i="87" a="1"/>
  <c r="F5709" i="87" a="1"/>
  <c r="F5281" i="87" a="1"/>
  <c r="F7606" i="87" a="1"/>
  <c r="F6048" i="87" a="1"/>
  <c r="F2716" i="87" a="1"/>
  <c r="F3261" i="87" a="1"/>
  <c r="F5654" i="87" a="1"/>
  <c r="F6302" i="87" a="1"/>
  <c r="F7341" i="87" a="1"/>
  <c r="F850" i="87" a="1"/>
  <c r="F3474" i="87" a="1"/>
  <c r="F7664" i="87" a="1"/>
  <c r="F7021" i="87" a="1"/>
  <c r="F6014" i="87" a="1"/>
  <c r="F6838" i="87" a="1"/>
  <c r="F6249" i="87" a="1"/>
  <c r="F7533" i="87" a="1"/>
  <c r="F5052" i="87" a="1"/>
  <c r="F6674" i="87" a="1"/>
  <c r="F6025" i="87" a="1"/>
  <c r="F897" i="87" a="1"/>
  <c r="F55" i="87" a="1"/>
  <c r="F5045" i="87" a="1"/>
  <c r="F6977" i="87" a="1"/>
  <c r="F916" i="87" a="1"/>
  <c r="F4297" i="87" a="1"/>
  <c r="F807" i="87" a="1"/>
  <c r="F6054" i="87" a="1"/>
  <c r="F7571" i="87" a="1"/>
  <c r="F1254" i="87" a="1"/>
  <c r="F5140" i="87" a="1"/>
  <c r="F7236" i="87" a="1"/>
  <c r="F6113" i="87" a="1"/>
  <c r="F2787" i="87" a="1"/>
  <c r="F6675" i="87" a="1"/>
  <c r="F6141" i="87" a="1"/>
  <c r="F3310" i="87" a="1"/>
  <c r="F7848" i="87" a="1"/>
  <c r="F744" i="87" a="1"/>
  <c r="F5030" i="87" a="1"/>
  <c r="F7870" i="87" a="1"/>
  <c r="F730" i="87" a="1"/>
  <c r="F7516" i="87" a="1"/>
  <c r="F5274" i="87" a="1"/>
  <c r="F6903" i="87" a="1"/>
  <c r="F7340" i="87" a="1"/>
  <c r="F5298" i="87" a="1"/>
  <c r="F6997" i="87" a="1"/>
  <c r="F858" i="87" a="1"/>
  <c r="F5672" i="87" a="1"/>
  <c r="F666" i="87" a="1"/>
  <c r="F6083" i="87" a="1"/>
  <c r="F6793" i="87" a="1"/>
  <c r="F5335" i="87" a="1"/>
  <c r="F6885" i="87" a="1"/>
  <c r="F4119" i="87" a="1"/>
  <c r="F5407" i="87" a="1"/>
  <c r="F3008" i="87" a="1"/>
  <c r="F3527" i="87" a="1"/>
  <c r="F3643" i="87" a="1"/>
  <c r="F7637" i="87" a="1"/>
  <c r="F5112" i="87" a="1"/>
  <c r="F981" i="87" a="1"/>
  <c r="F5005" i="87" a="1"/>
  <c r="F857" i="87" a="1"/>
  <c r="F6374" i="87" a="1"/>
  <c r="F801" i="87" a="1"/>
  <c r="F3431" i="87" a="1"/>
  <c r="F6871" i="87" a="1"/>
  <c r="F7724" i="87" a="1"/>
  <c r="F6013" i="87" a="1"/>
  <c r="F7005" i="87" a="1"/>
  <c r="F7133" i="87" a="1"/>
  <c r="F4736" i="87" a="1"/>
  <c r="F7489" i="87" a="1"/>
  <c r="F5440" i="87" a="1"/>
  <c r="F684" i="87" a="1"/>
  <c r="F6180" i="87" a="1"/>
  <c r="F264" i="87" a="1"/>
  <c r="F5516" i="87" a="1"/>
  <c r="F5668" i="87" a="1"/>
  <c r="F7706" i="87" a="1"/>
  <c r="F7866" i="87" a="1"/>
  <c r="F6089" i="87" a="1"/>
  <c r="F5535" i="87" a="1"/>
  <c r="F6138" i="87" a="1"/>
  <c r="F3311" i="87" a="1"/>
  <c r="F5804" i="87" a="1"/>
  <c r="F7642" i="87" a="1"/>
  <c r="F7023" i="87" a="1"/>
  <c r="F5524" i="87" a="1"/>
  <c r="F75" i="87" a="1"/>
  <c r="F742" i="87" a="1"/>
  <c r="F6813" i="87" a="1"/>
  <c r="F680" i="87" a="1"/>
  <c r="F7449" i="87" a="1"/>
  <c r="F6178" i="87" a="1"/>
  <c r="F5070" i="87" a="1"/>
  <c r="F5054" i="87" a="1"/>
  <c r="F3321" i="87" a="1"/>
  <c r="F44" i="87" a="1"/>
  <c r="F766" i="87" a="1"/>
  <c r="F1382" i="87" a="1"/>
  <c r="F6641" i="87" a="1"/>
  <c r="F7396" i="87" a="1"/>
  <c r="F725" i="87" a="1"/>
  <c r="F6399" i="87" a="1"/>
  <c r="F6837" i="87" a="1"/>
  <c r="F7651" i="87" a="1"/>
  <c r="F1180" i="87" a="1"/>
  <c r="F7372" i="87" a="1"/>
  <c r="F7352" i="87" a="1"/>
  <c r="F1484" i="87" a="1"/>
  <c r="F5055" i="87" a="1"/>
  <c r="F7676" i="87" a="1"/>
  <c r="F7351" i="87" a="1"/>
  <c r="F4060" i="87" a="1"/>
  <c r="F2895" i="87" a="1"/>
  <c r="F6197" i="87" a="1"/>
  <c r="F842" i="87" a="1"/>
  <c r="F6854" i="87" a="1"/>
  <c r="F6976" i="87" a="1"/>
  <c r="F1631" i="87" a="1"/>
  <c r="F5014" i="87" a="1"/>
  <c r="F5561" i="87" a="1"/>
  <c r="F6341" i="87" a="1"/>
  <c r="F7553" i="87" a="1"/>
  <c r="F6044" i="87" a="1"/>
  <c r="F5929" i="87" a="1"/>
  <c r="F6633" i="87" a="1"/>
  <c r="F6172" i="87" a="1"/>
  <c r="F7507" i="87" a="1"/>
  <c r="F874" i="87" a="1"/>
  <c r="F7029" i="87" a="1"/>
  <c r="F6233" i="87" a="1"/>
  <c r="F6766" i="87" a="1"/>
  <c r="F6104" i="87" a="1"/>
  <c r="F6689" i="87" a="1"/>
  <c r="F6524" i="87" a="1"/>
  <c r="F786" i="87" a="1"/>
  <c r="F6975" i="87" a="1"/>
  <c r="F5125" i="87" a="1"/>
  <c r="F6777" i="87" a="1"/>
  <c r="F867" i="87" a="1"/>
  <c r="F6724" i="87" a="1"/>
  <c r="F4337" i="87" a="1"/>
  <c r="F4893" i="87" a="1"/>
  <c r="F864" i="87" a="1"/>
  <c r="F2744" i="87" a="1"/>
  <c r="F7214" i="87" a="1"/>
  <c r="F7863" i="87" a="1"/>
  <c r="F7392" i="87" a="1"/>
  <c r="F7543" i="87" a="1"/>
  <c r="F6694" i="87" a="1"/>
  <c r="F6323" i="87" a="1"/>
  <c r="F3578" i="87" a="1"/>
  <c r="F919" i="87" a="1"/>
  <c r="F840" i="87" a="1"/>
  <c r="F6304" i="87" a="1"/>
  <c r="F908" i="87" a="1"/>
  <c r="F5863" i="87" a="1"/>
  <c r="F6166" i="87" a="1"/>
  <c r="F4958" i="87" a="1"/>
  <c r="F3642" i="87" a="1"/>
  <c r="F3428" i="87" a="1"/>
  <c r="F687" i="87" a="1"/>
  <c r="F6381" i="87" a="1"/>
  <c r="F4145" i="87" a="1"/>
  <c r="F6310" i="87" a="1"/>
  <c r="F5507" i="87" a="1"/>
  <c r="F7403" i="87" a="1"/>
  <c r="F7358" i="87" a="1"/>
  <c r="F7535" i="87" a="1"/>
  <c r="F5337" i="87" a="1"/>
  <c r="F6713" i="87" a="1"/>
  <c r="F564" i="87" a="1"/>
  <c r="F7531" i="87" a="1"/>
  <c r="F3315" i="87" a="1"/>
  <c r="F5831" i="87" a="1"/>
  <c r="F1257" i="87" a="1"/>
  <c r="F5603" i="87" a="1"/>
  <c r="F7370" i="87" a="1"/>
  <c r="F800" i="87" a="1"/>
  <c r="F5328" i="87" a="1"/>
  <c r="F5500" i="87" a="1"/>
  <c r="F7359" i="87" a="1"/>
  <c r="F5086" i="87" a="1"/>
  <c r="F6833" i="87" a="1"/>
  <c r="F6082" i="87" a="1"/>
  <c r="F7576" i="87" a="1"/>
  <c r="F745" i="87" a="1"/>
  <c r="F7585" i="87" a="1"/>
  <c r="F6836" i="87" a="1"/>
  <c r="F4861" i="87" a="1"/>
  <c r="F4319" i="87" a="1"/>
  <c r="F4889" i="87" a="1"/>
  <c r="F955" i="87" a="1"/>
  <c r="F4390" i="87" a="1"/>
  <c r="F5670" i="87" a="1"/>
  <c r="F7212" i="87" a="1"/>
  <c r="F6277" i="87" a="1"/>
  <c r="F7568" i="87" a="1"/>
  <c r="F4133" i="87" a="1"/>
  <c r="F5053" i="87" a="1"/>
  <c r="F6630" i="87" a="1"/>
  <c r="F7748" i="87" a="1"/>
  <c r="F5043" i="87" a="1"/>
  <c r="F3361" i="87" a="1"/>
  <c r="F836" i="87" a="1"/>
  <c r="F6769" i="87" a="1"/>
  <c r="F7163" i="87" a="1"/>
  <c r="F6808" i="87" a="1"/>
  <c r="F2704" i="87" a="1"/>
  <c r="F894" i="87" a="1"/>
  <c r="F7643" i="87" a="1"/>
  <c r="F5508" i="87" a="1"/>
  <c r="F3265" i="87" a="1"/>
  <c r="F7859" i="87" a="1"/>
  <c r="F23" i="87" a="1"/>
  <c r="F6521" i="87" a="1"/>
  <c r="F3195" i="87" a="1"/>
  <c r="F6677" i="87" a="1"/>
  <c r="F6489" i="87" a="1"/>
  <c r="F1255" i="87" a="1"/>
  <c r="F7839" i="87" a="1"/>
  <c r="F7254" i="87" a="1"/>
  <c r="F7727" i="87" a="1"/>
  <c r="F5108" i="87" a="1"/>
  <c r="F6809" i="87" a="1"/>
  <c r="F22" i="87" a="1"/>
  <c r="F3576" i="87" a="1"/>
  <c r="F4308" i="87" a="1"/>
  <c r="F7723" i="87" a="1"/>
  <c r="F6852" i="87" a="1"/>
  <c r="F6135" i="87" a="1"/>
  <c r="F7007" i="87" a="1"/>
  <c r="F5512" i="87" a="1"/>
  <c r="F6923" i="87" a="1"/>
  <c r="F7704" i="87" a="1"/>
  <c r="F6760" i="87" a="1"/>
  <c r="F966" i="87" a="1"/>
  <c r="F6339" i="87" a="1"/>
  <c r="F7366" i="87" a="1"/>
  <c r="F68" i="87" a="1"/>
  <c r="F7644" i="87" a="1"/>
  <c r="F839" i="87" a="1"/>
  <c r="F7636" i="87" a="1"/>
  <c r="F5699" i="87" a="1"/>
  <c r="F4276" i="87" a="1"/>
  <c r="F6606" i="87" a="1"/>
  <c r="F7495" i="87" a="1"/>
  <c r="F7560" i="87" a="1"/>
  <c r="F4392" i="87" a="1"/>
  <c r="F7496" i="87" a="1"/>
  <c r="F6800" i="87" a="1"/>
  <c r="F5376" i="87" a="1"/>
  <c r="F6919" i="87" a="1"/>
  <c r="F3478" i="87" a="1"/>
  <c r="F5819" i="87" a="1"/>
  <c r="F6034" i="87" a="1"/>
  <c r="F1589" i="87" a="1"/>
  <c r="F7714" i="87" a="1"/>
  <c r="F5016" i="87" a="1"/>
  <c r="F6049" i="87" a="1"/>
  <c r="F7518" i="87" a="1"/>
  <c r="F3647" i="87" a="1"/>
  <c r="F6010" i="87" a="1"/>
  <c r="F6711" i="87" a="1"/>
  <c r="F1490" i="87" a="1"/>
  <c r="F6954" i="87" a="1"/>
  <c r="F7263" i="87" a="1"/>
  <c r="F4362" i="87" a="1"/>
  <c r="F6818" i="87" a="1"/>
  <c r="F6901" i="87" a="1"/>
  <c r="F1184" i="87" a="1"/>
  <c r="F7862" i="87" a="1"/>
  <c r="F6692" i="87" a="1"/>
  <c r="F6880" i="87" a="1"/>
  <c r="F3582" i="87" a="1"/>
  <c r="F6927" i="87" a="1"/>
  <c r="F1372" i="87" a="1"/>
  <c r="F972" i="87" a="1"/>
  <c r="F6637" i="87" a="1"/>
  <c r="F6742" i="87" a="1"/>
  <c r="F7696" i="87" a="1"/>
  <c r="F1259" i="87" a="1"/>
  <c r="F6353" i="87" a="1"/>
  <c r="F7472" i="87" a="1"/>
  <c r="F5280" i="87" a="1"/>
  <c r="F4335" i="87" a="1"/>
  <c r="F6324" i="87" a="1"/>
  <c r="F4892" i="87" a="1"/>
  <c r="F7486" i="87" a="1"/>
  <c r="F6905" i="87" a="1"/>
  <c r="F5029" i="87" a="1"/>
  <c r="F6088" i="87" a="1"/>
  <c r="F6825" i="87" a="1"/>
  <c r="F267" i="87" a="1"/>
  <c r="F6717" i="87" a="1"/>
  <c r="F3202" i="87" a="1"/>
  <c r="F7558" i="87" a="1"/>
  <c r="F6118" i="87" a="1"/>
  <c r="F7389" i="87" a="1"/>
  <c r="F5665" i="87" a="1"/>
  <c r="F6780" i="87" a="1"/>
  <c r="F4956" i="87" a="1"/>
  <c r="F7709" i="87" a="1"/>
  <c r="F7368" i="87" a="1"/>
  <c r="F2768" i="87" a="1"/>
  <c r="F6900" i="87" a="1"/>
  <c r="F6090" i="87" a="1"/>
  <c r="F7026" i="87" a="1"/>
  <c r="F7073" i="87" a="1"/>
  <c r="F7739" i="87" a="1"/>
  <c r="F5081" i="87" a="1"/>
  <c r="F708" i="87" a="1"/>
  <c r="F6309" i="87" a="1"/>
  <c r="F4254" i="87" a="1"/>
  <c r="F7227" i="87" a="1"/>
  <c r="F7607" i="87" a="1"/>
  <c r="F751" i="87" a="1"/>
  <c r="F5823" i="87" a="1"/>
  <c r="F3524" i="87" a="1"/>
  <c r="F7622" i="87" a="1"/>
  <c r="F7299" i="87" a="1"/>
  <c r="F7506" i="87" a="1"/>
  <c r="F6016" i="87" a="1"/>
  <c r="F6866" i="87" a="1"/>
  <c r="F6715" i="87" a="1"/>
  <c r="F2903" i="87" a="1"/>
  <c r="F63" i="87" a="1"/>
  <c r="F7400" i="87" a="1"/>
  <c r="F1195" i="87" a="1"/>
  <c r="F5187" i="87" a="1"/>
  <c r="F5985" i="87" a="1"/>
  <c r="F7617" i="87" a="1"/>
  <c r="F988" i="87" a="1"/>
  <c r="F7457" i="87" a="1"/>
  <c r="F6241" i="87" a="1"/>
  <c r="F4026" i="87" a="1"/>
  <c r="F5018" i="87" a="1"/>
  <c r="F6212" i="87" a="1"/>
  <c r="F7427" i="87" a="1"/>
  <c r="F4021" i="87" a="1"/>
  <c r="F7441" i="87" a="1"/>
  <c r="F7325" i="87" a="1"/>
  <c r="F5671" i="87" a="1"/>
  <c r="F143" i="87" a="1"/>
  <c r="F7609" i="87" a="1"/>
  <c r="F6023" i="87" a="1"/>
  <c r="F4360" i="87" a="1"/>
  <c r="F6763" i="87" a="1"/>
  <c r="F7614" i="87" a="1"/>
  <c r="F1376" i="87" a="1"/>
  <c r="F6795" i="87" a="1"/>
  <c r="F6672" i="87" a="1"/>
  <c r="F4298" i="87" a="1"/>
  <c r="F4077" i="87" a="1"/>
  <c r="F6096" i="87" a="1"/>
  <c r="F5222" i="87" a="1"/>
  <c r="F798" i="87" a="1"/>
  <c r="F7464" i="87" a="1"/>
  <c r="F5068" i="87" a="1"/>
  <c r="F6279" i="87" a="1"/>
  <c r="F7027" i="87" a="1"/>
  <c r="F6839" i="87" a="1"/>
  <c r="F7737" i="87" a="1"/>
  <c r="F6290" i="87" a="1"/>
  <c r="F7716" i="87" a="1"/>
  <c r="F7540" i="87" a="1"/>
  <c r="F6136" i="87" a="1"/>
  <c r="F7125" i="87" a="1"/>
  <c r="F6208" i="87" a="1"/>
  <c r="F6234" i="87" a="1"/>
  <c r="F4968" i="87" a="1"/>
  <c r="F6931" i="87" a="1"/>
  <c r="F6829" i="87" a="1"/>
  <c r="F6191" i="87" a="1"/>
  <c r="F7445" i="87" a="1"/>
  <c r="F6414" i="87" a="1"/>
  <c r="F6779" i="87" a="1"/>
  <c r="F147" i="87" a="1"/>
  <c r="F4296" i="87" a="1"/>
  <c r="F881" i="87" a="1"/>
  <c r="F5285" i="87" a="1"/>
  <c r="F6275" i="87" a="1"/>
  <c r="F990" i="87" a="1"/>
  <c r="F6472" i="87" a="1"/>
  <c r="F7645" i="87" a="1"/>
  <c r="F14" i="87" a="1"/>
  <c r="F918" i="87" a="1"/>
  <c r="F5109" i="87" a="1"/>
  <c r="F4144" i="87" a="1"/>
  <c r="F6058" i="87" a="1"/>
  <c r="F7433" i="87" a="1"/>
  <c r="F7423" i="87" a="1"/>
  <c r="F2664" i="87" a="1"/>
  <c r="F1313" i="87" a="1"/>
  <c r="F6211" i="87" a="1"/>
  <c r="F4363" i="87" a="1"/>
  <c r="F6221" i="87" a="1"/>
  <c r="F7694" i="87" a="1"/>
  <c r="F6388" i="87" a="1"/>
  <c r="F809" i="87" a="1"/>
  <c r="F1358" i="87" a="1"/>
  <c r="F695" i="87" a="1"/>
  <c r="F6229" i="87" a="1"/>
  <c r="F5063" i="87" a="1"/>
  <c r="F4359" i="87" a="1"/>
  <c r="F4109" i="87" a="1"/>
  <c r="F6259" i="87" a="1"/>
  <c r="F5869" i="87" a="1"/>
  <c r="F1317" i="87" a="1"/>
  <c r="F7654" i="87" a="1"/>
  <c r="F3590" i="87" a="1"/>
  <c r="F39" i="87" a="1"/>
  <c r="F7550" i="87" a="1"/>
  <c r="F6177" i="87" a="1"/>
  <c r="F3196" i="87" a="1"/>
  <c r="F7595" i="87" a="1"/>
  <c r="F7602" i="87" a="1"/>
  <c r="F803" i="87" a="1"/>
  <c r="F5826" i="87" a="1"/>
  <c r="F3198" i="87" a="1"/>
  <c r="F1603" i="87" a="1"/>
  <c r="F5502" i="87" a="1"/>
  <c r="F376" i="87" a="1"/>
  <c r="F6243" i="87" a="1"/>
  <c r="F4278" i="87" a="1"/>
  <c r="F983" i="87" a="1"/>
  <c r="F6242" i="87" a="1"/>
  <c r="F6389" i="87" a="1"/>
  <c r="F3218" i="87" a="1"/>
  <c r="F6038" i="87" a="1"/>
  <c r="F6053" i="87" a="1"/>
  <c r="F686" i="87" a="1"/>
  <c r="F4277" i="87" a="1"/>
  <c r="F6749" i="87" a="1"/>
  <c r="F2934" i="87" a="1"/>
  <c r="F6878" i="87" a="1"/>
  <c r="F7621" i="87" a="1"/>
  <c r="F7707" i="87" a="1"/>
  <c r="F6695" i="87" a="1"/>
  <c r="F5510" i="87" a="1"/>
  <c r="F956" i="87" a="1"/>
  <c r="F6738" i="87" a="1"/>
  <c r="F6973" i="87" a="1"/>
  <c r="F3217" i="87" a="1"/>
  <c r="F898" i="87" a="1"/>
  <c r="F5293" i="87" a="1"/>
  <c r="F772" i="87" a="1"/>
  <c r="F6078" i="87" a="1"/>
  <c r="F5509" i="87" a="1"/>
  <c r="F4862" i="87" a="1"/>
  <c r="F6978" i="87" a="1"/>
  <c r="F7623" i="87" a="1"/>
  <c r="F7434" i="87" a="1"/>
  <c r="F662" i="87" a="1"/>
  <c r="F4030" i="87" a="1"/>
  <c r="F6921" i="87" a="1"/>
  <c r="F7364" i="87" a="1"/>
  <c r="F7699" i="87" a="1"/>
  <c r="F1370" i="87" a="1"/>
  <c r="F6789" i="87" a="1"/>
  <c r="F7348" i="87" a="1"/>
  <c r="F7426" i="87" a="1"/>
  <c r="F7382" i="87" a="1"/>
  <c r="F3316" i="87" a="1"/>
  <c r="F7549" i="87" a="1"/>
  <c r="F977" i="87" a="1"/>
  <c r="F1316" i="87" a="1"/>
  <c r="F5429" i="87" a="1"/>
  <c r="F7690" i="87" a="1"/>
  <c r="F7104" i="87" a="1"/>
  <c r="F667" i="87" a="1"/>
  <c r="F1251" i="87" a="1"/>
  <c r="F6076" i="87" a="1"/>
  <c r="F6957" i="87" a="1"/>
  <c r="F7084" i="87" a="1"/>
  <c r="F79" i="87" a="1"/>
  <c r="F6710" i="87" a="1"/>
  <c r="F802" i="87" a="1"/>
  <c r="F7584" i="87" a="1"/>
  <c r="F7034" i="87" a="1"/>
  <c r="F5816" i="87" a="1"/>
  <c r="F6033" i="87" a="1"/>
  <c r="F6060" i="87" a="1"/>
  <c r="F5058" i="87" a="1"/>
  <c r="F7008" i="87" a="1"/>
  <c r="F7871" i="87" a="1"/>
  <c r="F6969" i="87" a="1"/>
  <c r="F3601" i="87" a="1"/>
  <c r="F5513" i="87" a="1"/>
  <c r="F6295" i="87" a="1"/>
  <c r="F6114" i="87" a="1"/>
  <c r="F6755" i="87" a="1"/>
  <c r="F6992" i="87" a="1"/>
  <c r="F1389" i="87" a="1"/>
  <c r="F3172" i="87" a="1"/>
  <c r="F7858" i="87" a="1"/>
  <c r="F7497" i="87" a="1"/>
  <c r="F6396" i="87" a="1"/>
  <c r="F6855" i="87" a="1"/>
  <c r="F6092" i="87" a="1"/>
  <c r="F982" i="87" a="1"/>
  <c r="F6912" i="87" a="1"/>
  <c r="F6107" i="87" a="1"/>
  <c r="F6218" i="87" a="1"/>
  <c r="F5312" i="87" a="1"/>
  <c r="F6077" i="87" a="1"/>
  <c r="F6312" i="87" a="1"/>
  <c r="F4280" i="87" a="1"/>
  <c r="F6216" i="87" a="1"/>
  <c r="F7435" i="87" a="1"/>
  <c r="F5635" i="87" a="1"/>
  <c r="F2736" i="87" a="1"/>
  <c r="F6474" i="87" a="1"/>
  <c r="F6679" i="87" a="1"/>
  <c r="F3002" i="87" a="1"/>
  <c r="F4740" i="87" a="1"/>
  <c r="F4154" i="87" a="1"/>
  <c r="F6519" i="87" a="1"/>
  <c r="F5944" i="87" a="1"/>
  <c r="F444" i="87" a="1"/>
  <c r="F52" i="87" a="1"/>
  <c r="F6321" i="87" a="1"/>
  <c r="F6464" i="87" a="1"/>
  <c r="F2756" i="87" a="1"/>
  <c r="F685" i="87" a="1"/>
  <c r="F5279" i="87" a="1"/>
  <c r="F4286" i="87" a="1"/>
  <c r="F4062" i="87" a="1"/>
  <c r="F6020" i="87" a="1"/>
  <c r="F738" i="87" a="1"/>
  <c r="F795" i="87" a="1"/>
  <c r="F7860" i="87" a="1"/>
  <c r="F5175" i="87" a="1"/>
  <c r="F6864" i="87" a="1"/>
  <c r="F6670" i="87" a="1"/>
  <c r="F1393" i="87" a="1"/>
  <c r="F6196" i="87" a="1"/>
  <c r="F7381" i="87" a="1"/>
  <c r="F976" i="87" a="1"/>
  <c r="F4797" i="87" a="1"/>
  <c r="F4302" i="87" a="1"/>
  <c r="F904" i="87" a="1"/>
  <c r="F31" i="87" a="1"/>
  <c r="F6729" i="87" a="1"/>
  <c r="F5305" i="87" a="1"/>
  <c r="F5866" i="87" a="1"/>
  <c r="F964" i="87" a="1"/>
  <c r="F3597" i="87" a="1"/>
  <c r="F6462" i="87" a="1"/>
  <c r="F5186" i="87" a="1"/>
  <c r="F676" i="87" a="1"/>
  <c r="F4715" i="87" a="1"/>
  <c r="F957" i="87" a="1"/>
  <c r="F5138" i="87" a="1"/>
  <c r="F6843" i="87" a="1"/>
  <c r="F830" i="87" a="1"/>
  <c r="F895" i="87" a="1"/>
  <c r="F7691" i="87" a="1"/>
  <c r="F5820" i="87" a="1"/>
  <c r="F5062" i="87" a="1"/>
  <c r="F975" i="87" a="1"/>
  <c r="F5766" i="87" a="1"/>
  <c r="F6189" i="87" a="1"/>
  <c r="F1179" i="87" a="1"/>
  <c r="F6865" i="87" a="1"/>
  <c r="F5829" i="87" a="1"/>
  <c r="F7666" i="87" a="1"/>
  <c r="F7566" i="87" a="1"/>
  <c r="F5548" i="87" a="1"/>
  <c r="F70" i="87" a="1"/>
  <c r="F4750" i="87" a="1"/>
  <c r="F953" i="87" a="1"/>
  <c r="F4255" i="87" a="1"/>
  <c r="F5067" i="87" a="1"/>
  <c r="F5019" i="87" a="1"/>
  <c r="F5004" i="87" a="1"/>
  <c r="F2898" i="87" a="1"/>
  <c r="F6897" i="87" a="1"/>
  <c r="F1165" i="87" a="1"/>
  <c r="F882" i="87" a="1"/>
  <c r="F5027" i="87" a="1"/>
  <c r="F6772" i="87" a="1"/>
  <c r="F7734" i="87" a="1"/>
  <c r="F7520" i="87" a="1"/>
  <c r="F7538" i="87" a="1"/>
  <c r="F7521" i="87" a="1"/>
  <c r="F6676" i="87" a="1"/>
  <c r="F5295" i="87" a="1"/>
  <c r="F6487" i="87" a="1"/>
  <c r="F5256" i="87" a="1"/>
  <c r="F5832" i="87" a="1"/>
  <c r="F980" i="87" a="1"/>
  <c r="F6974" i="87" a="1"/>
  <c r="F7462" i="87" a="1"/>
  <c r="F7232" i="87" a="1"/>
  <c r="F4741" i="87" a="1"/>
  <c r="F5723" i="87" a="1"/>
  <c r="F677" i="87" a="1"/>
  <c r="F6981" i="87" a="1"/>
  <c r="F6716" i="87" a="1"/>
  <c r="F1469" i="87" a="1"/>
  <c r="F6608" i="87" a="1"/>
  <c r="F4271" i="87" a="1"/>
  <c r="F3523" i="87" a="1"/>
  <c r="F3219" i="87" a="1"/>
  <c r="F7580" i="87" a="1"/>
  <c r="F6200" i="87" a="1"/>
  <c r="F7529" i="87" a="1"/>
  <c r="F6121" i="87" a="1"/>
  <c r="F2765" i="87" a="1"/>
  <c r="F793" i="87" a="1"/>
  <c r="F7028" i="87" a="1"/>
  <c r="F6696" i="87" a="1"/>
  <c r="F4888" i="87" a="1"/>
  <c r="F7712" i="87" a="1"/>
  <c r="F2036" i="87" a="1"/>
  <c r="F1472" i="87" a="1"/>
  <c r="F7586" i="87" a="1"/>
  <c r="F6942" i="87" a="1"/>
  <c r="F6856" i="87" a="1"/>
  <c r="F2933" i="87" a="1"/>
  <c r="F6863" i="87" a="1"/>
  <c r="F7565" i="87" a="1"/>
  <c r="F7657" i="87" a="1"/>
  <c r="F5684" i="87" a="1"/>
  <c r="F5002" i="87" a="1"/>
  <c r="F6007" i="87" a="1"/>
  <c r="F1285" i="87" a="1"/>
  <c r="F36" i="87" a="1"/>
  <c r="F690" i="87" a="1"/>
  <c r="F6920" i="87" a="1"/>
  <c r="F6690" i="87" a="1"/>
  <c r="F2788" i="87" a="1"/>
  <c r="F6123" i="87" a="1"/>
  <c r="F7711" i="87" a="1"/>
  <c r="F7539" i="87" a="1"/>
  <c r="F660" i="87" a="1"/>
  <c r="F6139" i="87" a="1"/>
  <c r="F6726" i="87" a="1"/>
  <c r="F6015" i="87" a="1"/>
  <c r="F5511" i="87" a="1"/>
  <c r="F4023" i="87" a="1"/>
  <c r="F5998" i="87" a="1"/>
  <c r="F7409" i="87" a="1"/>
  <c r="F7577" i="87" a="1"/>
  <c r="F7120" i="87" a="1"/>
  <c r="F5997" i="87" a="1"/>
  <c r="F6079" i="87" a="1"/>
  <c r="F6889" i="87" a="1"/>
  <c r="F6934" i="87" a="1"/>
  <c r="F7397" i="87" a="1"/>
  <c r="F7103" i="87" a="1"/>
  <c r="F5467" i="87" a="1"/>
  <c r="F2710" i="87" a="1"/>
  <c r="F2784" i="87" a="1"/>
  <c r="F7286" i="87" a="1"/>
  <c r="F649" i="87" a="1"/>
  <c r="F6932" i="87" a="1"/>
  <c r="F6824" i="87" a="1"/>
  <c r="F6573" i="87" a="1"/>
  <c r="F6985" i="87" a="1"/>
  <c r="F5802" i="87" a="1"/>
  <c r="F2770" i="87" a="1"/>
  <c r="F7326" i="87" a="1"/>
  <c r="F6366" i="87" a="1"/>
  <c r="F835" i="87" a="1"/>
  <c r="F6347" i="87" a="1"/>
  <c r="F6110" i="87" a="1"/>
  <c r="F7513" i="87" a="1"/>
  <c r="F265" i="87" a="1"/>
  <c r="F6108" i="87" a="1"/>
  <c r="F2893" i="87" a="1"/>
  <c r="F5297" i="87" a="1"/>
  <c r="F6486" i="87" a="1"/>
  <c r="F974" i="87" a="1"/>
  <c r="F3333" i="87" a="1"/>
  <c r="F4027" i="87" a="1"/>
  <c r="F5275" i="87" a="1"/>
  <c r="F6948" i="87" a="1"/>
  <c r="F6810" i="87" a="1"/>
  <c r="F740" i="87" a="1"/>
  <c r="F3029" i="87" a="1"/>
  <c r="F5261" i="87" a="1"/>
  <c r="F7268" i="87" a="1"/>
  <c r="F2666" i="87" a="1"/>
  <c r="F4957" i="87" a="1"/>
  <c r="F6805" i="87" a="1"/>
  <c r="F1168" i="87" a="1"/>
  <c r="F6124" i="87" a="1"/>
  <c r="F6397" i="87" a="1"/>
  <c r="F15" i="87" a="1"/>
  <c r="F5938" i="87" a="1"/>
  <c r="F5174" i="87" a="1"/>
  <c r="F6039" i="87" a="1"/>
  <c r="F88" i="87" a="1"/>
  <c r="F5442" i="87" a="1"/>
  <c r="F2741" i="87" a="1"/>
  <c r="F6735" i="87" a="1"/>
  <c r="F32" i="87" a="1"/>
  <c r="F5698" i="87" a="1"/>
  <c r="F6081" i="87" a="1"/>
  <c r="F6376" i="87" a="1"/>
  <c r="F2662" i="87" a="1"/>
  <c r="F952" i="87" a="1"/>
  <c r="F3606" i="87" a="1"/>
  <c r="F888" i="87" a="1"/>
  <c r="F4829" i="87" a="1"/>
  <c r="F778" i="87" a="1"/>
  <c r="F1288" i="87" a="1"/>
  <c r="F5408" i="87" a="1"/>
  <c r="F5652" i="87" a="1"/>
  <c r="F6705" i="87" a="1"/>
  <c r="F6762" i="87" a="1"/>
  <c r="F4739" i="87" a="1"/>
  <c r="F1364" i="87" a="1"/>
  <c r="F6080" i="87" a="1"/>
  <c r="F1395" i="87" a="1"/>
  <c r="F6003" i="87" a="1"/>
  <c r="F6955" i="87" a="1"/>
  <c r="F7081" i="87" a="1"/>
  <c r="F4826" i="87" a="1"/>
  <c r="F2669" i="87" a="1"/>
  <c r="F6175" i="87" a="1"/>
  <c r="F5041" i="87" a="1"/>
  <c r="F5521" i="87" a="1"/>
  <c r="F3319" i="87" a="1"/>
  <c r="F5682" i="87" a="1"/>
  <c r="F4970" i="87" a="1"/>
  <c r="F7355" i="87" a="1"/>
  <c r="F7742" i="87" a="1"/>
  <c r="F6475" i="87" a="1"/>
  <c r="F5001" i="87" a="1"/>
  <c r="F5994" i="87" a="1"/>
  <c r="F5939" i="87" a="1"/>
  <c r="F785" i="87" a="1"/>
  <c r="F5942" i="87" a="1"/>
  <c r="F3221" i="87" a="1"/>
  <c r="F6151" i="87" a="1"/>
  <c r="F5825" i="87" a="1"/>
  <c r="F5464" i="87" a="1"/>
  <c r="F37" i="87" a="1"/>
  <c r="F4737" i="87" a="1"/>
  <c r="F5456" i="87" a="1"/>
  <c r="F6129" i="87" a="1"/>
  <c r="F3331" i="87" a="1"/>
  <c r="F5012" i="87" a="1"/>
  <c r="F6325" i="87" a="1"/>
  <c r="F5223" i="87" a="1"/>
  <c r="F7102" i="87" a="1"/>
  <c r="F6257" i="87" a="1"/>
  <c r="F4322" i="87" a="1"/>
  <c r="F735" i="87" a="1"/>
  <c r="F7384" i="87" a="1"/>
  <c r="F682" i="87" a="1"/>
  <c r="F7593" i="87" a="1"/>
  <c r="F7154" i="87" a="1"/>
  <c r="F6179" i="87" a="1"/>
  <c r="F3175" i="87" a="1"/>
  <c r="F563" i="87" a="1"/>
  <c r="F6400" i="87" a="1"/>
  <c r="F6289" i="87" a="1"/>
  <c r="F796" i="87" a="1"/>
  <c r="F1201" i="87" a="1"/>
  <c r="F5318" i="87" a="1"/>
  <c r="F5466" i="87" a="1"/>
  <c r="F99" i="87" a="1"/>
  <c r="F7401" i="87" a="1"/>
  <c r="F5735" i="87" a="1"/>
  <c r="F6902" i="87" a="1"/>
  <c r="F5865" i="87" a="1"/>
  <c r="F6029" i="87" a="1"/>
  <c r="F1260" i="87" a="1"/>
  <c r="F4290" i="87" a="1"/>
  <c r="F6820" i="87" a="1"/>
  <c r="F5384" i="87" a="1"/>
  <c r="F4273" i="87" a="1"/>
  <c r="F6827" i="87" a="1"/>
  <c r="F6326" i="87" a="1"/>
  <c r="F6051" i="87" a="1"/>
  <c r="F5520" i="87" a="1"/>
  <c r="F5598" i="87" a="1"/>
  <c r="F663" i="87" a="1"/>
  <c r="F2738" i="87" a="1"/>
  <c r="F7733" i="87" a="1"/>
  <c r="F155" i="87" a="1"/>
  <c r="F3028" i="87" a="1"/>
  <c r="F6952" i="87" a="1"/>
  <c r="F4299" i="87" a="1"/>
  <c r="F1487" i="87" a="1"/>
  <c r="F3477" i="87" a="1"/>
  <c r="F959" i="87" a="1"/>
  <c r="F3001" i="87" a="1"/>
  <c r="F6232" i="87" a="1"/>
  <c r="F7373" i="87" a="1"/>
  <c r="F1575" i="87" a="1"/>
  <c r="F7477" i="87" a="1"/>
  <c r="F6219" i="87" a="1"/>
  <c r="F6918" i="87" a="1"/>
  <c r="F6174" i="87" a="1"/>
  <c r="F2894" i="87" a="1"/>
  <c r="F7345" i="87" a="1"/>
  <c r="F869" i="87" a="1"/>
  <c r="F992" i="87" a="1"/>
  <c r="F6485" i="87" a="1"/>
  <c r="F7717" i="87" a="1"/>
  <c r="F7573" i="87" a="1"/>
  <c r="F6678" i="87" a="1"/>
  <c r="F2899" i="87" a="1"/>
  <c r="F4812" i="87" a="1"/>
  <c r="F6874" i="87" a="1"/>
  <c r="F3199" i="87" a="1"/>
  <c r="F6520" i="87" a="1"/>
  <c r="F5935" i="87" a="1"/>
  <c r="F6622" i="87" a="1"/>
  <c r="F6869" i="87" a="1"/>
  <c r="F750" i="87" a="1"/>
  <c r="F7619" i="87" a="1"/>
  <c r="F6231" i="87" a="1"/>
  <c r="F6834" i="87" a="1"/>
  <c r="F6377" i="87" a="1"/>
  <c r="F5693" i="87" a="1"/>
  <c r="F7001" i="87" a="1"/>
  <c r="F6064" i="87" a="1"/>
  <c r="F6105" i="87" a="1"/>
  <c r="F5504" i="87" a="1"/>
  <c r="F7483" i="87" a="1"/>
  <c r="F7142" i="87" a="1"/>
  <c r="F5933" i="87" a="1"/>
  <c r="F7708" i="87" a="1"/>
  <c r="F2897" i="87" a="1"/>
  <c r="F3243" i="87" a="1"/>
  <c r="F7874" i="87" a="1"/>
  <c r="F7335" i="87" a="1"/>
  <c r="F6619" i="87" a="1"/>
  <c r="F6667" i="87" a="1"/>
  <c r="F5302" i="87" a="1"/>
  <c r="F7559" i="87" a="1"/>
  <c r="F6294" i="87" a="1"/>
  <c r="F2935" i="87" a="1"/>
  <c r="F6267" i="87" a="1"/>
  <c r="F110" i="87" a="1"/>
  <c r="F6858" i="87" a="1"/>
  <c r="F6365" i="87" a="1"/>
  <c r="F7511" i="87" a="1"/>
  <c r="F6143" i="87" a="1"/>
  <c r="F7458" i="87" a="1"/>
  <c r="F7857" i="87" a="1"/>
  <c r="F6024" i="87" a="1"/>
  <c r="F902" i="87" a="1"/>
  <c r="F5107" i="87" a="1"/>
  <c r="F6375" i="87" a="1"/>
  <c r="F6593" i="87" a="1"/>
  <c r="F4256" i="87" a="1"/>
  <c r="F7702" i="87" a="1"/>
  <c r="F6404" i="87" a="1"/>
  <c r="F5517" i="87" a="1"/>
  <c r="F6758" i="87" a="1"/>
  <c r="F1196" i="87" a="1"/>
  <c r="F7217" i="87" a="1"/>
  <c r="F6349" i="87" a="1"/>
  <c r="F781" i="87" a="1"/>
  <c r="F720" i="87" a="1"/>
  <c r="F2735" i="87" a="1"/>
  <c r="F6144" i="87" a="1"/>
  <c r="F2663" i="87" a="1"/>
  <c r="F4120" i="87" a="1"/>
  <c r="F2937" i="87" a="1"/>
  <c r="F7683" i="87" a="1"/>
  <c r="F6140" i="87" a="1"/>
  <c r="F7661" i="87" a="1"/>
  <c r="F5639" i="87" a="1"/>
  <c r="F5033" i="87" a="1"/>
  <c r="F5032" i="87" a="1"/>
  <c r="F7329" i="87" a="1"/>
  <c r="F7033" i="87" a="1"/>
  <c r="F1301" i="87" a="1"/>
  <c r="F924" i="87" a="1"/>
  <c r="F6987" i="87" a="1"/>
  <c r="F905" i="87" a="1"/>
  <c r="F6119" i="87" a="1"/>
  <c r="F6225" i="87" a="1"/>
  <c r="F7675" i="87" a="1"/>
  <c r="F5013" i="87" a="1"/>
  <c r="F668" i="87" a="1"/>
  <c r="F4749" i="87" a="1"/>
  <c r="F7418" i="87" a="1"/>
  <c r="F3" i="87" a="1"/>
  <c r="F5370" i="87" a="1"/>
  <c r="F6165" i="87" a="1"/>
  <c r="F4261" i="87" a="1"/>
  <c r="F7245" i="87" a="1"/>
  <c r="F4265" i="87" a="1"/>
  <c r="F4259" i="87" a="1"/>
  <c r="F7331" i="87" a="1"/>
  <c r="F5815" i="87" a="1"/>
  <c r="F6126" i="87" a="1"/>
  <c r="F6826" i="87" a="1"/>
  <c r="F7632" i="87" a="1"/>
  <c r="F6680" i="87" a="1"/>
  <c r="F6385" i="87" a="1"/>
  <c r="F670" i="87" a="1"/>
  <c r="F7855" i="87" a="1"/>
  <c r="F157" i="87" a="1"/>
  <c r="F3430" i="87" a="1"/>
  <c r="F6585" i="87" a="1"/>
  <c r="F4755" i="87" a="1"/>
  <c r="F6011" i="87" a="1"/>
  <c r="F6892" i="87" a="1"/>
  <c r="F19" i="87" a="1"/>
  <c r="F6759" i="87" a="1"/>
  <c r="F6845" i="87" a="1"/>
  <c r="F6631" i="87" a="1"/>
  <c r="F1394" i="87" a="1"/>
  <c r="F6888" i="87" a="1"/>
  <c r="F6115" i="87" a="1"/>
  <c r="F4833" i="87" a="1"/>
  <c r="F7422" i="87" a="1"/>
  <c r="F906" i="87" a="1"/>
  <c r="F6776" i="87" a="1"/>
  <c r="F7421" i="87" a="1"/>
  <c r="F43" i="87" a="1"/>
  <c r="F3004" i="87" a="1"/>
  <c r="F970" i="87" a="1"/>
  <c r="F1291" i="87" a="1"/>
  <c r="F707" i="87" a="1"/>
  <c r="F3260" i="87" a="1"/>
  <c r="F6719" i="87" a="1"/>
  <c r="F7638" i="87" a="1"/>
  <c r="F856" i="87" a="1"/>
  <c r="F7680" i="87" a="1"/>
  <c r="F6802" i="87" a="1"/>
  <c r="F5499" i="87" a="1"/>
  <c r="F7379" i="87" a="1"/>
  <c r="F7672" i="87" a="1"/>
  <c r="F7524" i="87" a="1"/>
  <c r="F5824" i="87" a="1"/>
  <c r="F7349" i="87" a="1"/>
  <c r="F6380" i="87" a="1"/>
  <c r="F6756" i="87" a="1"/>
  <c r="F6947" i="87" a="1"/>
  <c r="F6384" i="87" a="1"/>
  <c r="F7611" i="87" a="1"/>
  <c r="F6722" i="87" a="1"/>
  <c r="F4262" i="87" a="1"/>
  <c r="F6207" i="87" a="1"/>
  <c r="F6684" i="87" a="1"/>
  <c r="F1352" i="87" a="1"/>
  <c r="F6643" i="87" a="1"/>
  <c r="F3589" i="87" a="1"/>
  <c r="F6739" i="87" a="1"/>
  <c r="F7490" i="87" a="1"/>
  <c r="F5503" i="87" a="1"/>
  <c r="F7692" i="87" a="1"/>
  <c r="F6091" i="87" a="1"/>
  <c r="F900" i="87" a="1"/>
  <c r="F692" i="87" a="1"/>
  <c r="F7030" i="87" a="1"/>
  <c r="F5383" i="87" a="1"/>
  <c r="F5026" i="87" a="1"/>
  <c r="F4828" i="87" a="1"/>
  <c r="F7336" i="87" a="1"/>
  <c r="F6781" i="87" a="1"/>
  <c r="F6001" i="87" a="1"/>
  <c r="F3561" i="87" a="1"/>
  <c r="F6206" i="87" a="1"/>
  <c r="F3355" i="87" a="1"/>
  <c r="F7295" i="87" a="1"/>
  <c r="F3596" i="87" a="1"/>
  <c r="F596" i="87" a="1"/>
  <c r="F4351" i="87" a="1"/>
  <c r="F7093" i="87" a="1"/>
  <c r="F6230" i="87" a="1"/>
  <c r="F3022" i="87" a="1"/>
  <c r="F2944" i="87" a="1"/>
  <c r="F1213" i="87" a="1"/>
  <c r="F6887" i="87" a="1"/>
  <c r="F6488" i="87" a="1"/>
  <c r="F7250" i="87" a="1"/>
  <c r="F5788" i="87" a="1"/>
  <c r="F4808" i="87" a="1"/>
  <c r="F5687" i="87" a="1"/>
  <c r="F2773" i="87" a="1"/>
  <c r="F2775" i="87" a="1"/>
  <c r="F1298" i="87" a="1"/>
  <c r="F1356" i="87" a="1"/>
  <c r="F7624" i="87" a="1"/>
  <c r="F4078" i="87" a="1"/>
  <c r="F6190" i="87" a="1"/>
  <c r="F6940" i="87" a="1"/>
  <c r="F5438" i="87" a="1"/>
  <c r="F6193" i="87" a="1"/>
  <c r="F940" i="87" a="1"/>
  <c r="F6228" i="87" a="1"/>
  <c r="F2769" i="87" a="1"/>
  <c r="F7145" i="87" a="1"/>
  <c r="F4754" i="87" a="1"/>
  <c r="F6236" i="87" a="1"/>
  <c r="F6162" i="87" a="1"/>
  <c r="F3521" i="87" a="1"/>
  <c r="F2900" i="87" a="1"/>
  <c r="F2938" i="87" a="1"/>
  <c r="F6799" i="87" a="1"/>
  <c r="F925" i="87" a="1"/>
  <c r="F6065" i="87" a="1"/>
  <c r="F93" i="87" a="1"/>
  <c r="F7715" i="87" a="1"/>
  <c r="F6745" i="87" a="1"/>
  <c r="F946" i="87" a="1"/>
  <c r="F7546" i="87" a="1"/>
  <c r="F5571" i="87" a="1"/>
  <c r="F5060" i="87" a="1"/>
  <c r="F1357" i="87" a="1"/>
  <c r="F5339" i="87" a="1"/>
  <c r="F5092" i="87" a="1"/>
  <c r="F6922" i="87" a="1"/>
  <c r="F6210" i="87" a="1"/>
  <c r="F7674" i="87" a="1"/>
  <c r="F5523" i="87" a="1"/>
  <c r="F6628" i="87" a="1"/>
  <c r="F7652" i="87" a="1"/>
  <c r="F6205" i="87" a="1"/>
  <c r="F758" i="87" a="1"/>
  <c r="F6313" i="87" a="1"/>
  <c r="F841" i="87" a="1"/>
  <c r="F7428" i="87" a="1"/>
  <c r="F5096" i="87" a="1"/>
  <c r="F6939" i="87" a="1"/>
  <c r="F6797" i="87" a="1"/>
  <c r="F595" i="87" a="1"/>
  <c r="F6850" i="87" a="1"/>
  <c r="F7405" i="87" a="1"/>
  <c r="F691" i="87" a="1"/>
  <c r="F1362" i="87" a="1"/>
  <c r="F7750" i="87" a="1"/>
  <c r="F7653" i="87" a="1"/>
  <c r="F7501" i="87" a="1"/>
  <c r="F6483" i="87" a="1"/>
  <c r="F4866" i="87" a="1"/>
  <c r="F6359" i="87" a="1"/>
  <c r="F2904" i="87" a="1"/>
  <c r="F5529" i="87" a="1"/>
  <c r="F5762" i="87" a="1"/>
  <c r="F6752" i="87" a="1"/>
  <c r="F85" i="87" a="1"/>
  <c r="F6764" i="87" a="1"/>
  <c r="F6004" i="87" a="1"/>
  <c r="F7482" i="87" a="1"/>
  <c r="F6788" i="87" a="1"/>
  <c r="F6816" i="87" a="1"/>
  <c r="F5818" i="87" a="1"/>
  <c r="F7629" i="87" a="1"/>
  <c r="F7534" i="87" a="1"/>
  <c r="F4809" i="87" a="1"/>
  <c r="F4279" i="87" a="1"/>
  <c r="F7277" i="87" a="1"/>
  <c r="F5296" i="87" a="1"/>
  <c r="F6031" i="87" a="1"/>
  <c r="F860" i="87" a="1"/>
  <c r="F7581" i="87" a="1"/>
  <c r="F7342" i="87" a="1"/>
  <c r="F6757" i="87" a="1"/>
  <c r="F7183" i="87" a="1"/>
  <c r="F5403" i="87" a="1"/>
  <c r="F7668" i="87" a="1"/>
  <c r="F4325" i="87" a="1"/>
  <c r="F1205" i="87" a="1"/>
  <c r="F6841" i="87" a="1"/>
  <c r="F3114" i="87" a="1"/>
  <c r="F1188" i="87" a="1"/>
  <c r="F6322" i="87" a="1"/>
  <c r="F6943" i="87" a="1"/>
  <c r="F5563" i="87" a="1"/>
  <c r="F7620" i="87" a="1"/>
  <c r="F5463" i="87" a="1"/>
  <c r="F1360" i="87" a="1"/>
  <c r="F7413" i="87" a="1"/>
  <c r="F714" i="87" a="1"/>
  <c r="F153" i="87" a="1"/>
  <c r="F6709" i="87" a="1"/>
  <c r="F6378" i="87" a="1"/>
  <c r="F6733" i="87" a="1"/>
  <c r="F6019" i="87" a="1"/>
  <c r="F1373" i="87" a="1"/>
  <c r="F6202" i="87" a="1"/>
  <c r="F4029" i="87" a="1"/>
  <c r="F5290" i="87" a="1"/>
  <c r="F6910" i="87" a="1"/>
  <c r="F3599" i="87" a="1"/>
  <c r="F6868" i="87" a="1"/>
  <c r="F909" i="87" a="1"/>
  <c r="F7875" i="87" a="1"/>
  <c r="F89" i="87" a="1"/>
  <c r="F7353" i="87" a="1"/>
  <c r="F6883" i="87" a="1"/>
  <c r="F4174" i="87" a="1"/>
  <c r="F1617" i="87" a="1"/>
  <c r="F7446" i="87" a="1"/>
  <c r="F6070" i="87" a="1"/>
  <c r="F6251" i="87" a="1"/>
  <c r="F1353" i="87" a="1"/>
  <c r="F5224" i="87" a="1"/>
  <c r="F6682" i="87" a="1"/>
  <c r="F7406" i="87" a="1"/>
  <c r="F126" i="87" a="1"/>
  <c r="F7376" i="87" a="1"/>
  <c r="F6094" i="87" a="1"/>
  <c r="F7327" i="87" a="1"/>
  <c r="F6972" i="87" a="1"/>
  <c r="F6097" i="87" a="1"/>
  <c r="F765" i="87" a="1"/>
  <c r="F7522" i="87" a="1"/>
  <c r="F7556" i="87" a="1"/>
  <c r="F1367" i="87" a="1"/>
  <c r="F6941" i="87" a="1"/>
  <c r="F6708" i="87" a="1"/>
  <c r="F6790" i="87" a="1"/>
  <c r="F5042" i="87" a="1"/>
  <c r="F7018" i="87" a="1"/>
  <c r="F5469" i="87" a="1"/>
  <c r="F3427" i="87" a="1"/>
  <c r="F7851" i="87" a="1"/>
  <c r="F847" i="87" a="1"/>
  <c r="F7272" i="87" a="1"/>
  <c r="F779" i="87" a="1"/>
  <c r="F6181" i="87" a="1"/>
  <c r="F4971" i="87" a="1"/>
  <c r="F5048" i="87" a="1"/>
  <c r="F6988" i="87" a="1"/>
  <c r="F6301" i="87" a="1"/>
  <c r="F5460" i="87" a="1"/>
  <c r="F5458" i="87" a="1"/>
  <c r="F7528" i="87" a="1"/>
  <c r="F7357" i="87" a="1"/>
  <c r="F2050" i="87" a="1"/>
  <c r="F6893" i="87" a="1"/>
  <c r="F3240" i="87" a="1"/>
  <c r="F6357" i="87" a="1"/>
  <c r="F5617" i="87" a="1"/>
  <c r="F6953" i="87" a="1"/>
  <c r="F3027" i="87" a="1"/>
  <c r="F1377" i="87" a="1"/>
  <c r="F6632" i="87" a="1"/>
  <c r="F7854" i="87" a="1"/>
  <c r="F6936" i="87" a="1"/>
  <c r="F6293" i="87" a="1"/>
  <c r="F6911" i="87" a="1"/>
  <c r="F2745" i="87" a="1"/>
  <c r="F7698" i="87" a="1"/>
  <c r="F7502" i="87" a="1"/>
  <c r="F6847" i="87" a="1"/>
  <c r="F5864" i="87" a="1"/>
  <c r="F7223" i="87" a="1"/>
  <c r="F6907" i="87" a="1"/>
  <c r="F6899" i="87" a="1"/>
  <c r="F6737" i="87" a="1"/>
  <c r="F3363" i="87" a="1"/>
  <c r="F7452" i="87" a="1"/>
  <c r="F6214" i="87" a="1"/>
  <c r="F6333" i="87" a="1"/>
  <c r="F4283" i="87" a="1"/>
  <c r="F7508" i="87" a="1"/>
  <c r="F5021" i="87" a="1"/>
  <c r="F6935" i="87" a="1"/>
  <c r="F5277" i="87" a="1"/>
  <c r="F5546" i="87" a="1"/>
  <c r="F7332" i="87" a="1"/>
  <c r="F4799" i="87" a="1"/>
  <c r="F4057" i="87" a="1"/>
  <c r="F1363" i="87" a="1"/>
  <c r="F1214" i="87" a="1"/>
  <c r="F6408" i="87" a="1"/>
  <c r="F7430" i="87" a="1"/>
  <c r="F7393" i="87" a="1"/>
  <c r="F7367" i="87" a="1"/>
  <c r="F4134" i="87" a="1"/>
  <c r="F7465" i="87" a="1"/>
  <c r="F6908" i="87" a="1"/>
  <c r="F7872" i="87" a="1"/>
  <c r="F4079" i="87" a="1"/>
  <c r="F4353" i="87" a="1"/>
  <c r="F6066" i="87" a="1"/>
  <c r="F7388" i="87" a="1"/>
  <c r="F731" i="87" a="1"/>
  <c r="F130" i="87" a="1"/>
  <c r="F7390" i="87" a="1"/>
  <c r="F6071" i="87" a="1"/>
  <c r="F5119" i="87" a="1"/>
  <c r="F7467" i="87" a="1"/>
  <c r="F4275" i="87" a="1"/>
  <c r="F4019" i="87" a="1"/>
  <c r="F7380" i="87" a="1"/>
  <c r="F3533" i="87" a="1"/>
  <c r="F7160" i="87" a="1"/>
  <c r="F7424" i="87" a="1"/>
  <c r="F7705" i="87" a="1"/>
  <c r="F6522" i="87" a="1"/>
  <c r="F132" i="87" a="1"/>
  <c r="F814" i="87" a="1"/>
  <c r="F6473" i="87" a="1"/>
  <c r="F6607" i="87" a="1"/>
  <c r="F5331" i="87" a="1"/>
  <c r="F7847" i="87" a="1"/>
  <c r="F5406" i="87" a="1"/>
  <c r="F4738" i="87" a="1"/>
  <c r="F3105" i="87" a="1"/>
  <c r="F5514" i="87" a="1"/>
  <c r="F7377" i="87" a="1"/>
  <c r="F6944" i="87" a="1"/>
  <c r="F6792" i="87" a="1"/>
  <c r="F816" i="87" a="1"/>
  <c r="F7085" i="87" a="1"/>
  <c r="F7425" i="87" a="1"/>
  <c r="F6929" i="87" a="1"/>
  <c r="F782" i="87" a="1"/>
  <c r="F6728" i="87" a="1"/>
  <c r="F135" i="87" a="1"/>
  <c r="F1" i="87" a="1"/>
  <c r="F6723" i="87" a="1"/>
  <c r="F911" i="87" a="1"/>
  <c r="F5742" i="87" a="1"/>
  <c r="F3568" i="87" a="1"/>
  <c r="F6857" i="87" a="1"/>
  <c r="F6924" i="87" a="1"/>
  <c r="F4065" i="87" a="1"/>
  <c r="F7592" i="87" a="1"/>
  <c r="F7343" i="87" a="1"/>
  <c r="F159" i="87" a="1"/>
  <c r="F7032" i="87" a="1"/>
  <c r="F7455" i="87" a="1"/>
  <c r="F7360" i="87" a="1"/>
  <c r="F5020" i="87" a="1"/>
  <c r="F7448" i="87" a="1"/>
  <c r="F915" i="87" a="1"/>
  <c r="F5071" i="87" a="1"/>
  <c r="F4171" i="87" a="1"/>
  <c r="F5047" i="87" a="1"/>
  <c r="F7146" i="87" a="1"/>
  <c r="F7599" i="87" a="1"/>
  <c r="F7479" i="87" a="1"/>
  <c r="F693" i="87" a="1"/>
  <c r="F3522" i="87" a="1"/>
  <c r="F7440" i="87" a="1"/>
  <c r="F7512" i="87" a="1"/>
  <c r="F1478" i="87" a="1"/>
  <c r="F6307" i="87" a="1"/>
  <c r="F7375" i="87" a="1"/>
  <c r="F6117" i="87" a="1"/>
  <c r="F1198" i="87" a="1"/>
  <c r="F6235" i="87" a="1"/>
  <c r="F6803" i="87" a="1"/>
  <c r="F748" i="87" a="1"/>
  <c r="F6327" i="87" a="1"/>
  <c r="F2776" i="87" a="1"/>
  <c r="F4282" i="87" a="1"/>
  <c r="F6215" i="87" a="1"/>
  <c r="F6873" i="87" a="1"/>
  <c r="F2901" i="87" a="1"/>
  <c r="F6718" i="87" a="1"/>
  <c r="F6098" i="87" a="1"/>
  <c r="F7838" i="87" a="1"/>
  <c r="F7687" i="87" a="1"/>
  <c r="F4253" i="87" a="1"/>
  <c r="F4338" i="87" a="1"/>
  <c r="F846" i="87" a="1"/>
  <c r="F784" i="87" a="1"/>
  <c r="F1181" i="87" a="1"/>
  <c r="F7165" i="87" a="1"/>
  <c r="F6870" i="87" a="1"/>
  <c r="F6027" i="87" a="1"/>
  <c r="F851" i="87" a="1"/>
  <c r="F6008" i="87" a="1"/>
  <c r="F6247" i="87" a="1"/>
  <c r="F3023" i="87" a="1"/>
  <c r="F7147" i="87" a="1"/>
  <c r="F7383" i="87" a="1"/>
  <c r="F7665" i="87" a="1"/>
  <c r="F2750" i="87" a="1"/>
  <c r="F4391" i="87" a="1"/>
  <c r="F7697" i="87" a="1"/>
  <c r="F7846" i="87" a="1"/>
  <c r="F5851" i="87" a="1"/>
  <c r="F7347" i="87" a="1"/>
  <c r="F6609" i="87" a="1"/>
  <c r="F7086" i="87" a="1"/>
  <c r="F4757" i="87" a="1"/>
  <c r="F3569" i="87" a="1"/>
  <c r="F6133" i="87" a="1"/>
  <c r="F1192" i="87" a="1"/>
  <c r="F5007" i="87" a="1"/>
  <c r="F6849" i="87" a="1"/>
  <c r="F5680" i="87" a="1"/>
  <c r="F5009" i="87" a="1"/>
  <c r="F6069" i="87" a="1"/>
  <c r="F728" i="87" a="1"/>
  <c r="F6714" i="87" a="1"/>
  <c r="F6673" i="87" a="1"/>
  <c r="F6002" i="87" a="1"/>
  <c r="F5345" i="87" a="1"/>
  <c r="F958" i="87" a="1"/>
  <c r="F4059" i="87" a="1"/>
  <c r="F7475" i="87" a="1"/>
  <c r="F7514" i="87" a="1"/>
  <c r="F5289" i="87" a="1"/>
  <c r="F7481" i="87" a="1"/>
  <c r="F6746" i="87" a="1"/>
  <c r="F3562" i="87" a="1"/>
  <c r="F756" i="87" a="1"/>
  <c r="F62" i="87" a="1"/>
  <c r="F3526" i="87" a="1"/>
  <c r="F7591" i="87" a="1"/>
  <c r="F445" i="87" a="1"/>
  <c r="F673" i="87" a="1"/>
  <c r="F4323" i="87" a="1"/>
  <c r="F6930" i="87" a="1"/>
  <c r="F1282" i="87" a="1"/>
  <c r="F5761" i="87" a="1"/>
  <c r="F4859" i="87" a="1"/>
  <c r="F6351" i="87" a="1"/>
  <c r="F1206" i="87" a="1"/>
  <c r="F7391" i="87" a="1"/>
  <c r="F718" i="87" a="1"/>
  <c r="F7648" i="87" a="1"/>
  <c r="F6274" i="87" a="1"/>
  <c r="F1346" i="87" a="1"/>
  <c r="F5282" i="87" a="1"/>
  <c r="F6898" i="87" a="1"/>
  <c r="F1340" i="87" a="1"/>
  <c r="F5303" i="87" a="1"/>
  <c r="F4967" i="87" a="1"/>
  <c r="F6163" i="87" a="1"/>
  <c r="F6753" i="87" a="1"/>
  <c r="F7728" i="87" a="1"/>
  <c r="F6627" i="87" a="1"/>
  <c r="F7454" i="87" a="1"/>
  <c r="F2902" i="87" a="1"/>
  <c r="F6583" i="87" a="1"/>
  <c r="F7509" i="87" a="1"/>
  <c r="F6255" i="87" a="1"/>
  <c r="F7416" i="87" a="1"/>
  <c r="F2713" i="87" a="1"/>
  <c r="F6915" i="87" a="1"/>
  <c r="F6693" i="87" a="1"/>
  <c r="F6288" i="87" a="1"/>
  <c r="F1375" i="87" a="1"/>
  <c r="F4135" i="87" a="1"/>
  <c r="F2764" i="87" a="1"/>
  <c r="F721" i="87" a="1"/>
  <c r="F6093" i="87" a="1"/>
  <c r="F4018" i="87" a="1"/>
  <c r="F4125" i="87" a="1"/>
  <c r="F6308" i="87" a="1"/>
  <c r="F6426" i="87" a="1"/>
  <c r="F7024" i="87" a="1"/>
  <c r="F6691" i="87" a="1"/>
  <c r="F6073" i="87" a="1"/>
  <c r="F6982" i="87" a="1"/>
  <c r="F5044" i="87" a="1"/>
  <c r="F5984" i="87" a="1"/>
  <c r="F753" i="87" a="1"/>
  <c r="F6201" i="87" a="1"/>
  <c r="F7124" i="87" a="1"/>
  <c r="F7190" i="87" a="1"/>
  <c r="F7677" i="87" a="1"/>
  <c r="F4831" i="87" a="1"/>
  <c r="F6035" i="87" a="1"/>
  <c r="F3180" i="87" a="1"/>
  <c r="F7519" i="87" a="1"/>
  <c r="F7746" i="87" a="1"/>
  <c r="F6681" i="87" a="1"/>
  <c r="F2742" i="87" a="1"/>
  <c r="F5059" i="87" a="1"/>
  <c r="F927" i="87" a="1"/>
  <c r="F912" i="87" a="1"/>
  <c r="F6979" i="87" a="1"/>
  <c r="F665" i="87" a="1"/>
  <c r="F1391" i="87" a="1"/>
  <c r="F7747" i="87" a="1"/>
  <c r="F4304" i="87" a="1"/>
  <c r="F6787" i="87" a="1"/>
  <c r="F57" i="87" a="1"/>
  <c r="F104" i="87" a="1"/>
  <c r="F7532" i="87" a="1"/>
  <c r="F3003" i="87" a="1"/>
  <c r="F6217" i="87" a="1"/>
  <c r="F7010" i="87" a="1"/>
  <c r="F2701" i="87" a="1"/>
  <c r="F6276" i="87" a="1"/>
  <c r="F7563" i="87" a="1"/>
  <c r="F2752" i="87" a="1"/>
  <c r="F6022" i="87" a="1"/>
  <c r="F7410" i="87" a="1"/>
  <c r="F74" i="87" a="1"/>
  <c r="F1279" i="87" a="1"/>
  <c r="F6671" i="87" a="1"/>
  <c r="F6147" i="87" a="1"/>
  <c r="F5707" i="87" a="1"/>
  <c r="F3575" i="87" a="1"/>
  <c r="F6946" i="87" a="1"/>
  <c r="F6862" i="87" a="1"/>
  <c r="F5701" i="87" a="1"/>
  <c r="F3528" i="87" a="1"/>
  <c r="F7569" i="87" a="1"/>
  <c r="F6906" i="87" a="1"/>
  <c r="F6314" i="87" a="1"/>
  <c r="F3358" i="87" a="1"/>
  <c r="F4274" i="87" a="1"/>
  <c r="F6311" i="87" a="1"/>
  <c r="F700" i="87" a="1"/>
  <c r="F893" i="87" a="1"/>
  <c r="F672" i="87" a="1"/>
  <c r="F7725" i="87" a="1"/>
  <c r="F5031" i="87" a="1"/>
  <c r="F6853" i="87" a="1"/>
  <c r="F6405" i="87" a="1"/>
  <c r="F6372" i="87" a="1"/>
  <c r="F6154" i="87" a="1"/>
  <c r="F6712" i="87" a="1"/>
  <c r="F6683" i="87" a="1"/>
  <c r="F5675" i="87" a="1"/>
  <c r="F2757" i="87" a="1"/>
  <c r="F6877" i="87" a="1"/>
  <c r="F7741" i="87" a="1"/>
  <c r="F5525" i="87" a="1"/>
  <c r="F7641" i="87" a="1"/>
  <c r="F7722" i="87" a="1"/>
  <c r="F5940" i="87" a="1"/>
  <c r="F4796" i="87" a="1"/>
  <c r="F3024" i="87" a="1"/>
  <c r="F5673" i="87" a="1"/>
  <c r="F7738" i="87" a="1"/>
  <c r="F5941" i="87" a="1"/>
  <c r="F7484" i="87" a="1"/>
  <c r="F6045" i="87" a="1"/>
  <c r="F4303" i="87" a="1"/>
  <c r="F4295" i="87" a="1"/>
  <c r="F7209" i="87" a="1"/>
  <c r="F5999" i="87" a="1"/>
  <c r="F7470" i="87" a="1"/>
  <c r="F6361" i="87" a="1"/>
  <c r="F5666" i="87" a="1"/>
  <c r="F6768" i="87" a="1"/>
  <c r="F7597" i="87" a="1"/>
  <c r="F7164" i="87" a="1"/>
  <c r="F1496" i="87" a="1"/>
  <c r="F6329" i="87" a="1"/>
  <c r="F854" i="87" a="1"/>
  <c r="F6970" i="87" a="1"/>
  <c r="F932" i="87" a="1"/>
  <c r="F6876" i="87" a="1"/>
  <c r="F6050" i="87" a="1"/>
  <c r="F6770" i="87" a="1"/>
  <c r="F5079" i="87" a="1"/>
  <c r="F5319" i="87" a="1"/>
  <c r="F6895" i="87" a="1"/>
  <c r="F7334" i="87" a="1"/>
  <c r="F48" i="87" a="1"/>
  <c r="F58" i="87" a="1"/>
  <c r="F5131" i="87" a="1"/>
  <c r="F7395" i="87" a="1"/>
  <c r="F7685" i="87" a="1"/>
  <c r="F6784" i="87" a="1"/>
  <c r="F7438" i="87" a="1"/>
  <c r="F951" i="87" a="1"/>
  <c r="F4309" i="87" a="1"/>
  <c r="F7679" i="87" a="1"/>
  <c r="F6835" i="87" a="1"/>
  <c r="F6052" i="87" a="1"/>
  <c r="F5472" i="87" a="1"/>
  <c r="F268" i="87" a="1"/>
  <c r="F7850" i="87" a="1"/>
  <c r="F7720" i="87" a="1"/>
  <c r="F4321" i="87" a="1"/>
  <c r="F6775" i="87" a="1"/>
  <c r="F7686" i="87" a="1"/>
  <c r="F5530" i="87" a="1"/>
  <c r="F5636" i="87" a="1"/>
  <c r="F3525" i="87" a="1"/>
  <c r="F6328" i="87" a="1"/>
  <c r="F823" i="87" a="1"/>
  <c r="F7646" i="87" a="1"/>
  <c r="F5473" i="87" a="1"/>
  <c r="F6734" i="87" a="1"/>
  <c r="F5039" i="87" a="1"/>
  <c r="F3585" i="87" a="1"/>
  <c r="F6012" i="87" a="1"/>
  <c r="F4864" i="87" a="1"/>
  <c r="F844" i="87" a="1"/>
  <c r="F3646" i="87" a="1"/>
  <c r="F7333" i="87" a="1"/>
  <c r="F6700" i="87" a="1"/>
  <c r="F7469" i="87" a="1"/>
  <c r="F7588" i="87" a="1"/>
  <c r="F6095" i="87" a="1"/>
  <c r="F5368" i="87" a="1"/>
  <c r="F6945" i="87" a="1"/>
  <c r="F7040" i="87" a="1"/>
  <c r="F848" i="87" a="1"/>
  <c r="F6786" i="87" a="1"/>
  <c r="F1381" i="87" a="1"/>
  <c r="F2891" i="87" a="1"/>
  <c r="F5185" i="87" a="1"/>
  <c r="F6005" i="87" a="1"/>
  <c r="F985" i="87" a="1"/>
  <c r="F6867" i="87" a="1"/>
  <c r="F963" i="87" a="1"/>
  <c r="F4352" i="87" a="1"/>
  <c r="F7861" i="87" a="1"/>
  <c r="F5799" i="87" a="1"/>
  <c r="F6223" i="87" a="1"/>
  <c r="F6373" i="87" a="1"/>
  <c r="F7660" i="87" a="1"/>
  <c r="F3179" i="87" a="1"/>
  <c r="F4288" i="87" a="1"/>
  <c r="F5678" i="87" a="1"/>
  <c r="F6285" i="87" a="1"/>
  <c r="F7412" i="87" a="1"/>
  <c r="F2743" i="87" a="1"/>
  <c r="F1187" i="87" a="1"/>
  <c r="F7305" i="87" a="1"/>
  <c r="F923" i="87" a="1"/>
  <c r="F960" i="87" a="1"/>
  <c r="F5459" i="87" a="1"/>
  <c r="F7545" i="87" a="1"/>
  <c r="F3665" i="87" a="1"/>
  <c r="F930" i="87" a="1"/>
  <c r="F7554" i="87" a="1"/>
  <c r="F5505" i="87" a="1"/>
  <c r="F6410" i="87" a="1"/>
  <c r="F6886" i="87" a="1"/>
  <c r="F5616" i="87" a="1"/>
  <c r="F6337" i="87" a="1"/>
  <c r="F783" i="87" a="1"/>
  <c r="F6844" i="87" a="1"/>
  <c r="F6030" i="87" a="1"/>
  <c r="F6037" i="87" a="1"/>
  <c r="F6297" i="87" a="1"/>
  <c r="F6099" i="87" a="1"/>
  <c r="F6699" i="87" a="1"/>
  <c r="F4326" i="87" a="1"/>
  <c r="F6597" i="87" a="1"/>
  <c r="F656" i="87" a="1"/>
  <c r="F2941" i="87" a="1"/>
  <c r="F7575" i="87" a="1"/>
  <c r="F3490" i="87" a="1"/>
  <c r="F5683" i="87" a="1"/>
  <c r="F4281" i="87" a="1"/>
  <c r="F6926" i="87" a="1"/>
  <c r="F1172" i="87" a="1"/>
  <c r="F7039" i="87" a="1"/>
  <c r="F1493" i="87" a="1"/>
  <c r="F7328" i="87" a="1"/>
  <c r="F6767" i="87" a="1"/>
  <c r="F901" i="87" a="1"/>
  <c r="F5199" i="87" a="1"/>
  <c r="F727" i="87" a="1"/>
  <c r="F853" i="87" a="1"/>
  <c r="F6150" i="87" a="1"/>
  <c r="F6021" i="87" a="1"/>
  <c r="F5218" i="87" a="1"/>
  <c r="F4258" i="87" a="1"/>
  <c r="F5191" i="87" a="1"/>
  <c r="F5518" i="87" a="1"/>
  <c r="F6074" i="87" a="1"/>
  <c r="F7527" i="87" a="1"/>
  <c r="F6286" i="87" a="1"/>
  <c r="F3564" i="87" a="1"/>
  <c r="F6398" i="87" a="1"/>
  <c r="F7492" i="87" a="1"/>
  <c r="F2942" i="87" a="1"/>
  <c r="F7864" i="87" a="1"/>
  <c r="F3201" i="87" a="1"/>
  <c r="F1173" i="87" a="1"/>
  <c r="F7710" i="87" a="1"/>
  <c r="F6840" i="87" a="1"/>
  <c r="F3583" i="87" a="1"/>
  <c r="F4136" i="87" a="1"/>
  <c r="F7693" i="87" a="1"/>
  <c r="F5288" i="87" a="1"/>
  <c r="F3197" i="87" a="1"/>
  <c r="F6148" i="87" a="1"/>
  <c r="F6253" i="87" a="1"/>
  <c r="F5066" i="87" a="1"/>
  <c r="F6379" i="87" a="1"/>
  <c r="F6146" i="87" a="1"/>
  <c r="F5000" i="87" a="1"/>
  <c r="F6401" i="87" a="1"/>
  <c r="F6343" i="87" a="1"/>
  <c r="F4863" i="87" a="1"/>
  <c r="F5219" i="87" a="1"/>
  <c r="F4752" i="87" a="1"/>
  <c r="F6000" i="87" a="1"/>
  <c r="F6859" i="87" a="1"/>
  <c r="F7869" i="87" a="1"/>
  <c r="F7578" i="87" a="1"/>
  <c r="F5254" i="87" a="1"/>
  <c r="F5022" i="87" a="1"/>
  <c r="F4305" i="87" a="1"/>
  <c r="F1383" i="87" a="1"/>
  <c r="F4287" i="87" a="1"/>
  <c r="F872" i="87" a="1"/>
  <c r="F6263" i="87" a="1"/>
  <c r="F7473" i="87" a="1"/>
  <c r="F2751" i="87" a="1"/>
  <c r="F7461" i="87" a="1"/>
  <c r="F5667" i="87" a="1"/>
  <c r="F7365" i="87" a="1"/>
  <c r="F6687" i="87" a="1"/>
  <c r="F5287" i="87" a="1"/>
  <c r="F5765" i="87" a="1"/>
  <c r="F1351" i="87" a="1"/>
  <c r="F4891" i="87" a="1"/>
  <c r="F2707" i="87" a="1"/>
  <c r="F7213" i="87" a="1"/>
  <c r="F6575" i="87" a="1"/>
  <c r="F7659" i="87" a="1"/>
  <c r="F7544" i="87" a="1"/>
  <c r="F7615" i="87" a="1"/>
  <c r="F661" i="87" a="1"/>
  <c r="F5990" i="87" a="1"/>
  <c r="F5402" i="87" a="1"/>
  <c r="F4289" i="87" a="1"/>
  <c r="F6227" i="87" a="1"/>
  <c r="F5729" i="87" a="1"/>
  <c r="F6484" i="87" a="1"/>
  <c r="F5868" i="87" a="1"/>
  <c r="F97" i="87" a="1"/>
  <c r="F6103" i="87" a="1"/>
  <c r="F5860" i="87" a="1"/>
  <c r="F5003" i="87" a="1"/>
  <c r="F6330" i="87" a="1"/>
  <c r="F5111" i="87" a="1"/>
  <c r="F6814" i="87" a="1"/>
  <c r="F732" i="87" a="1"/>
  <c r="F6068" i="87" a="1"/>
  <c r="F6817" i="87" a="1"/>
  <c r="F7344" i="87" a="1"/>
  <c r="F6303" i="87" a="1"/>
  <c r="F6006" i="87" a="1"/>
  <c r="F7650" i="87" a="1"/>
  <c r="F7634" i="87" a="1"/>
  <c r="F6794" i="87" a="1"/>
  <c r="F149" i="87" a="1"/>
  <c r="F6199" i="87" a="1"/>
  <c r="F3436" i="87" a="1"/>
  <c r="F6102" i="87" a="1"/>
  <c r="F7463" i="87" a="1"/>
  <c r="F6237" i="87" a="1"/>
  <c r="F4312" i="87" a="1"/>
  <c r="F7216" i="87" a="1"/>
  <c r="F5259" i="87" a="1"/>
  <c r="F7681" i="87" a="1"/>
  <c r="F7594" i="87" a="1"/>
  <c r="F6176" i="87" a="1"/>
  <c r="F4827" i="87" a="1"/>
  <c r="F6984" i="87" a="1"/>
  <c r="F792" i="87" a="1"/>
  <c r="F6629" i="87" a="1"/>
  <c r="F4336" i="87" a="1"/>
  <c r="F3332" i="87" a="1"/>
  <c r="F7432" i="87" a="1"/>
  <c r="F5306" i="87" a="1"/>
  <c r="F5115" i="87" a="1"/>
  <c r="F7669" i="87" a="1"/>
  <c r="F7873" i="87" a="1"/>
  <c r="F6645" i="87" a="1"/>
  <c r="F6605" i="87" a="1"/>
  <c r="F7616" i="87" a="1"/>
  <c r="F4313" i="87" a="1"/>
  <c r="F7439" i="87" a="1"/>
  <c r="F6203" i="87" a="1"/>
  <c r="F7494" i="87" a="1"/>
  <c r="F4306" i="87" a="1"/>
  <c r="F6042" i="87" a="1"/>
  <c r="F7290" i="87" a="1"/>
  <c r="F5035" i="87" a="1"/>
  <c r="F5545" i="87" a="1"/>
  <c r="F6032" i="87" a="1"/>
  <c r="F6707" i="87" a="1"/>
  <c r="F5057" i="87" a="1"/>
  <c r="F7402" i="87" a="1"/>
  <c r="F6959" i="87" a="1"/>
  <c r="F5537" i="87" a="1"/>
  <c r="F993" i="87" a="1"/>
  <c r="F6418" i="87" a="1"/>
  <c r="F7174" i="87" a="1"/>
  <c r="F899" i="87" a="1"/>
  <c r="F5534" i="87" a="1"/>
  <c r="F859" i="87" a="1"/>
  <c r="F7491" i="87" a="1"/>
  <c r="F1355" i="87" a="1"/>
  <c r="F837" i="87" a="1"/>
  <c r="F7036" i="87" a="1"/>
  <c r="F4705" i="87" a="1"/>
  <c r="F7536" i="87" a="1"/>
  <c r="F5017" i="87" a="1"/>
  <c r="F7099" i="87" a="1"/>
  <c r="F2746" i="87" a="1"/>
  <c r="F6084" i="87" a="1"/>
  <c r="F7567" i="87" a="1"/>
  <c r="F6281" i="87" a="1"/>
  <c r="F6685" i="87" a="1"/>
  <c r="F7515" i="87" a="1"/>
  <c r="F7330" i="87" a="1"/>
  <c r="F6928" i="87" a="1"/>
  <c r="F6149" i="87" a="1"/>
  <c r="F5051" i="87" a="1"/>
  <c r="F743" i="87" a="1"/>
  <c r="F969" i="87" a="1"/>
  <c r="F6785" i="87" a="1"/>
  <c r="F5640" i="87" a="1"/>
  <c r="F6476" i="87" a="1"/>
  <c r="F3592" i="87" a="1"/>
  <c r="F6317" i="87" a="1"/>
  <c r="F7031" i="87" a="1"/>
  <c r="F7649" i="87" a="1"/>
  <c r="F843" i="87" a="1"/>
  <c r="F6161" i="87" a="1"/>
  <c r="F7589" i="87" a="1"/>
  <c r="F5465" i="87" a="1"/>
  <c r="F7740" i="87" a="1"/>
  <c r="F6589" i="87" a="1"/>
  <c r="F6904" i="87" a="1"/>
  <c r="F5871" i="87" a="1"/>
  <c r="F6688" i="87" a="1"/>
  <c r="F5528" i="87" a="1"/>
  <c r="F6036" i="87" a="1"/>
  <c r="F6703" i="87" a="1"/>
  <c r="F5453" i="87" a="1"/>
  <c r="F6980" i="87" a="1"/>
  <c r="F7526" i="87" a="1"/>
  <c r="F5375" i="87" a="1"/>
  <c r="F6265" i="87" a="1"/>
  <c r="F6040" i="87" a="1"/>
  <c r="F6754" i="87" a="1"/>
  <c r="F7022" i="87" a="1"/>
  <c r="F6059" i="87" a="1"/>
  <c r="F7547" i="87" a="1"/>
  <c r="F7610" i="87" a="1"/>
  <c r="F7362" i="87" a="1"/>
  <c r="F1378" i="87" a="1"/>
  <c r="F5049" i="87" a="1"/>
  <c r="F2702" i="87" a="1"/>
  <c r="F7598" i="87" a="1"/>
  <c r="F6698" i="87" a="1"/>
  <c r="F3475" i="87" a="1"/>
  <c r="F824" i="87" a="1"/>
  <c r="F6812" i="87" a="1"/>
  <c r="F5945" i="87" a="1"/>
  <c r="F3437" i="87" a="1"/>
  <c r="F7735" i="87" a="1"/>
  <c r="F7420" i="87" a="1"/>
  <c r="F5569" i="87" a="1"/>
  <c r="F1315" i="87" a="1"/>
  <c r="F2706" i="87" a="1"/>
  <c r="F6355" i="87" a="1"/>
  <c r="F6145" i="87" a="1"/>
  <c r="F6018" i="87" a="1"/>
  <c r="F3371" i="87" a="1"/>
  <c r="F6669" i="87" a="1"/>
  <c r="F683" i="87" a="1"/>
  <c r="F7837" i="87" a="1"/>
  <c r="F5036" i="87" a="1"/>
  <c r="F27" i="87" a="1"/>
  <c r="F7853" i="87" a="1"/>
  <c r="F2792" i="87" a="1"/>
  <c r="F597" i="87" a="1"/>
  <c r="F4314" i="87" a="1"/>
  <c r="F6101" i="87" a="1"/>
  <c r="F5184" i="87" a="1"/>
  <c r="F7673" i="87" a="1"/>
  <c r="F5061" i="87" a="1"/>
  <c r="F5083" i="87" a="1"/>
  <c r="F4061" i="87" a="1"/>
  <c r="F5023" i="87" a="1"/>
  <c r="F6894" i="87" a="1"/>
  <c r="F5686" i="87" a="1"/>
  <c r="F6116" i="87" a="1"/>
  <c r="F1369" i="87" a="1"/>
  <c r="F2896" i="87" a="1"/>
  <c r="F6171" i="87" a="1"/>
  <c r="F7459" i="87" a="1"/>
  <c r="F5301" i="87" a="1"/>
  <c r="F4161" i="87" a="1"/>
  <c r="F67" i="87" a="1"/>
  <c r="F723" i="87" a="1"/>
  <c r="F6925" i="87" a="1"/>
  <c r="F6075" i="87" a="1"/>
  <c r="F7431" i="87" a="1"/>
  <c r="F4028" i="87" a="1"/>
  <c r="F6686" i="87" a="1"/>
  <c r="F4320" i="87" a="1"/>
  <c r="F6909" i="87" a="1"/>
  <c r="F6938" i="87" a="1"/>
  <c r="F6363" i="87" a="1"/>
  <c r="F4354" i="87" a="1"/>
  <c r="F6345" i="87" a="1"/>
  <c r="F1176" i="87" a="1"/>
  <c r="F5097" i="87" a="1"/>
  <c r="F151" i="87" a="1"/>
  <c r="F7587" i="87" a="1"/>
  <c r="F7626" i="87" a="1"/>
  <c r="F7471" i="87" a="1"/>
  <c r="F7628" i="87" a="1"/>
  <c r="F6087" i="87" a="1"/>
  <c r="F1463" i="87" a="1"/>
  <c r="F5291" i="87" a="1"/>
  <c r="F4058" i="87" a="1"/>
  <c r="F650" i="87" a="1"/>
  <c r="F7684" i="87" a="1"/>
  <c r="F7537" i="87" a="1"/>
  <c r="F866" i="87" a="1"/>
  <c r="F6213" i="87" a="1"/>
  <c r="F7444" i="87" a="1"/>
  <c r="F6318" i="87" a="1"/>
  <c r="F1164" i="87" a="1"/>
  <c r="F6142" i="87" a="1"/>
  <c r="F6226" i="87" a="1"/>
  <c r="F7499" i="87" a="1"/>
  <c r="F749" i="87" a="1"/>
  <c r="F5873" i="87" a="1"/>
  <c r="F6796" i="87" a="1"/>
  <c r="F4022" i="87" a="1"/>
  <c r="F6194" i="87" a="1"/>
  <c r="F4266" i="87" a="1"/>
  <c r="F1466" i="87" a="1"/>
  <c r="F7656" i="87" a="1"/>
  <c r="F1304" i="87" a="1"/>
  <c r="F2924" i="87" a="1"/>
  <c r="F6806" i="87" a="1"/>
  <c r="F7667" i="87" a="1"/>
  <c r="F7613" i="87" a="1"/>
  <c r="F2761" i="87" a="1"/>
  <c r="F7627" i="87" a="1"/>
  <c r="F5767" i="87" a="1"/>
  <c r="F5461" i="87" a="1"/>
  <c r="F3026" i="87" a="1"/>
  <c r="F5011" i="87" a="1"/>
  <c r="F5700" i="87" a="1"/>
  <c r="F4310" i="87" a="1"/>
  <c r="F3220" i="87" a="1"/>
  <c r="F5515" i="87" a="1"/>
  <c r="F6063" i="87" a="1"/>
  <c r="F6287" i="87" a="1"/>
  <c r="F6875" i="87" a="1"/>
  <c r="F7485" i="87" a="1"/>
  <c r="F6128" i="87" a="1"/>
  <c r="F6721" i="87" a="1"/>
  <c r="F5168" i="87" a="1"/>
  <c r="F6842" i="87" a="1"/>
  <c r="F6046" i="87" a="1"/>
  <c r="F5559" i="87" a="1"/>
  <c r="F6026" i="87" a="1"/>
  <c r="F7487" i="87" a="1"/>
  <c r="F5828" i="87" a="1"/>
  <c r="F3205" i="87" a="1"/>
  <c r="F4361" i="87" a="1"/>
  <c r="F3369" i="87" a="1"/>
  <c r="F4020" i="87" a="1"/>
  <c r="F7408" i="87" a="1"/>
  <c r="F5200" i="87" a="1"/>
  <c r="F6111" i="87" a="1"/>
  <c r="F6884" i="87" a="1"/>
  <c r="F2665" i="87" a="1"/>
  <c r="F6995" i="87" a="1"/>
  <c r="F5245" i="87" a="1"/>
  <c r="F6751" i="87" a="1"/>
  <c r="F6750" i="87" a="1"/>
  <c r="F2999" i="87" a="1"/>
  <c r="F4830" i="87" a="1"/>
  <c r="F4364" i="87" a="1"/>
  <c r="F4285" i="87" a="1"/>
  <c r="F7480" i="87" a="1"/>
  <c r="F5025" i="87" a="1"/>
  <c r="F6471" i="87" a="1"/>
  <c r="F6202" i="87" l="1"/>
  <c r="F130" i="87"/>
  <c r="F1373" i="87"/>
  <c r="F925" i="87"/>
  <c r="F6065" i="87"/>
  <c r="F6046" i="87"/>
  <c r="F7446" i="87"/>
  <c r="F5868" i="87"/>
  <c r="F1351" i="87"/>
  <c r="F7679" i="87"/>
  <c r="F6895" i="87"/>
  <c r="F909" i="87"/>
  <c r="F5851" i="87"/>
  <c r="F731" i="87"/>
  <c r="F6019" i="87"/>
  <c r="F6799" i="87"/>
  <c r="F6471" i="87"/>
  <c r="F6842" i="87"/>
  <c r="F6681" i="87"/>
  <c r="F6052" i="87"/>
  <c r="F5765" i="87"/>
  <c r="F4174" i="87"/>
  <c r="F5319" i="87"/>
  <c r="F4275" i="87"/>
  <c r="F7846" i="87"/>
  <c r="E7846" i="87" s="1"/>
  <c r="F7388" i="87"/>
  <c r="F6733" i="87"/>
  <c r="F2938" i="87"/>
  <c r="F4059" i="87"/>
  <c r="F5168" i="87"/>
  <c r="F930" i="87"/>
  <c r="F6522" i="87"/>
  <c r="F5287" i="87"/>
  <c r="F7424" i="87"/>
  <c r="F5079" i="87"/>
  <c r="F6868" i="87"/>
  <c r="F7697" i="87"/>
  <c r="F6066" i="87"/>
  <c r="F6378" i="87"/>
  <c r="F2900" i="87"/>
  <c r="F126" i="87"/>
  <c r="F6721" i="87"/>
  <c r="F2792" i="87"/>
  <c r="F859" i="87"/>
  <c r="F6687" i="87"/>
  <c r="F4309" i="87"/>
  <c r="F6770" i="87"/>
  <c r="F4757" i="87"/>
  <c r="F4391" i="87"/>
  <c r="F4353" i="87"/>
  <c r="F6709" i="87"/>
  <c r="F3521" i="87"/>
  <c r="F6814" i="87"/>
  <c r="F6128" i="87"/>
  <c r="F7853" i="87"/>
  <c r="E7853" i="87" s="1"/>
  <c r="F5680" i="87"/>
  <c r="F7365" i="87"/>
  <c r="F5007" i="87"/>
  <c r="F6050" i="87"/>
  <c r="F4831" i="87"/>
  <c r="F2750" i="87"/>
  <c r="F4079" i="87"/>
  <c r="F153" i="87"/>
  <c r="F6162" i="87"/>
  <c r="F7847" i="87"/>
  <c r="E7847" i="87" s="1"/>
  <c r="F7485" i="87"/>
  <c r="F27" i="87"/>
  <c r="F6484" i="87"/>
  <c r="F5667" i="87"/>
  <c r="F7519" i="87"/>
  <c r="F6876" i="87"/>
  <c r="F7467" i="87"/>
  <c r="F7665" i="87"/>
  <c r="F7872" i="87"/>
  <c r="E7872" i="87" s="1"/>
  <c r="F714" i="87"/>
  <c r="F6236" i="87"/>
  <c r="F6337" i="87"/>
  <c r="F6875" i="87"/>
  <c r="F5036" i="87"/>
  <c r="F6835" i="87"/>
  <c r="F7461" i="87"/>
  <c r="F6883" i="87"/>
  <c r="F932" i="87"/>
  <c r="F3599" i="87"/>
  <c r="F7383" i="87"/>
  <c r="F6908" i="87"/>
  <c r="F7413" i="87"/>
  <c r="F4754" i="87"/>
  <c r="F6775" i="87"/>
  <c r="F6287" i="87"/>
  <c r="F7837" i="87"/>
  <c r="F1617" i="87"/>
  <c r="F2751" i="87"/>
  <c r="F3665" i="87"/>
  <c r="F6970" i="87"/>
  <c r="F7086" i="87"/>
  <c r="F7147" i="87"/>
  <c r="F7465" i="87"/>
  <c r="F1360" i="87"/>
  <c r="F7145" i="87"/>
  <c r="F665" i="87"/>
  <c r="F6063" i="87"/>
  <c r="F683" i="87"/>
  <c r="F7746" i="87"/>
  <c r="F7473" i="87"/>
  <c r="F7160" i="87"/>
  <c r="F854" i="87"/>
  <c r="F5119" i="87"/>
  <c r="F3023" i="87"/>
  <c r="F4134" i="87"/>
  <c r="F5463" i="87"/>
  <c r="F2769" i="87"/>
  <c r="F5061" i="87"/>
  <c r="F5515" i="87"/>
  <c r="F6669" i="87"/>
  <c r="F6849" i="87"/>
  <c r="F6263" i="87"/>
  <c r="F951" i="87"/>
  <c r="F6329" i="87"/>
  <c r="F6910" i="87"/>
  <c r="F6247" i="87"/>
  <c r="F7367" i="87"/>
  <c r="F7620" i="87"/>
  <c r="F6228" i="87"/>
  <c r="F5025" i="87"/>
  <c r="F3220" i="87"/>
  <c r="F3371" i="87"/>
  <c r="F7705" i="87"/>
  <c r="F872" i="87"/>
  <c r="F1192" i="87"/>
  <c r="F1496" i="87"/>
  <c r="F7677" i="87"/>
  <c r="F6008" i="87"/>
  <c r="F7393" i="87"/>
  <c r="F5563" i="87"/>
  <c r="F940" i="87"/>
  <c r="F7406" i="87"/>
  <c r="F4310" i="87"/>
  <c r="F6018" i="87"/>
  <c r="F5729" i="87"/>
  <c r="F4287" i="87"/>
  <c r="F7353" i="87"/>
  <c r="F7164" i="87"/>
  <c r="F6609" i="87"/>
  <c r="F851" i="87"/>
  <c r="F7430" i="87"/>
  <c r="F6943" i="87"/>
  <c r="F6193" i="87"/>
  <c r="F958" i="87"/>
  <c r="F5700" i="87"/>
  <c r="F6145" i="87"/>
  <c r="F5534" i="87"/>
  <c r="F1383" i="87"/>
  <c r="F3180" i="87"/>
  <c r="F7597" i="87"/>
  <c r="F6071" i="87"/>
  <c r="F6027" i="87"/>
  <c r="F6408" i="87"/>
  <c r="F6322" i="87"/>
  <c r="F5438" i="87"/>
  <c r="F5111" i="87"/>
  <c r="F5011" i="87"/>
  <c r="F6355" i="87"/>
  <c r="F6227" i="87"/>
  <c r="F4305" i="87"/>
  <c r="F3533" i="87"/>
  <c r="F6768" i="87"/>
  <c r="F5290" i="87"/>
  <c r="F6870" i="87"/>
  <c r="F1214" i="87"/>
  <c r="F1188" i="87"/>
  <c r="F6940" i="87"/>
  <c r="F5331" i="87"/>
  <c r="F3026" i="87"/>
  <c r="F2706" i="87"/>
  <c r="F4289" i="87"/>
  <c r="F5022" i="87"/>
  <c r="F7438" i="87"/>
  <c r="F5666" i="87"/>
  <c r="F7190" i="87"/>
  <c r="F7165" i="87"/>
  <c r="F1363" i="87"/>
  <c r="F3114" i="87"/>
  <c r="F6190" i="87"/>
  <c r="F4321" i="87"/>
  <c r="F5461" i="87"/>
  <c r="F1315" i="87"/>
  <c r="F899" i="87"/>
  <c r="F5254" i="87"/>
  <c r="F7545" i="87"/>
  <c r="F6361" i="87"/>
  <c r="F7390" i="87"/>
  <c r="F1181" i="87"/>
  <c r="F4057" i="87"/>
  <c r="F6841" i="87"/>
  <c r="F4078" i="87"/>
  <c r="F6979" i="87"/>
  <c r="F5767" i="87"/>
  <c r="F5569" i="87"/>
  <c r="F5402" i="87"/>
  <c r="F7578" i="87"/>
  <c r="F89" i="87"/>
  <c r="F7470" i="87"/>
  <c r="F7347" i="87"/>
  <c r="F784" i="87"/>
  <c r="F4799" i="87"/>
  <c r="F1205" i="87"/>
  <c r="F7624" i="87"/>
  <c r="F5616" i="87"/>
  <c r="F7627" i="87"/>
  <c r="F7420" i="87"/>
  <c r="F5990" i="87"/>
  <c r="F7869" i="87"/>
  <c r="E7869" i="87" s="1"/>
  <c r="F6133" i="87"/>
  <c r="F5999" i="87"/>
  <c r="F4029" i="87"/>
  <c r="F846" i="87"/>
  <c r="F7332" i="87"/>
  <c r="F4325" i="87"/>
  <c r="F1356" i="87"/>
  <c r="F7480" i="87"/>
  <c r="F2761" i="87"/>
  <c r="F7735" i="87"/>
  <c r="F661" i="87"/>
  <c r="F6859" i="87"/>
  <c r="F6784" i="87"/>
  <c r="F7209" i="87"/>
  <c r="F7124" i="87"/>
  <c r="F4338" i="87"/>
  <c r="F5546" i="87"/>
  <c r="F7668" i="87"/>
  <c r="F1298" i="87"/>
  <c r="F6682" i="87"/>
  <c r="F7613" i="87"/>
  <c r="F3437" i="87"/>
  <c r="F7174" i="87"/>
  <c r="F6000" i="87"/>
  <c r="F7380" i="87"/>
  <c r="F4295" i="87"/>
  <c r="F6201" i="87"/>
  <c r="F4253" i="87"/>
  <c r="F5277" i="87"/>
  <c r="F5403" i="87"/>
  <c r="F2775" i="87"/>
  <c r="F5345" i="87"/>
  <c r="F7667" i="87"/>
  <c r="F5945" i="87"/>
  <c r="F7615" i="87"/>
  <c r="F4752" i="87"/>
  <c r="F7685" i="87"/>
  <c r="F4303" i="87"/>
  <c r="F753" i="87"/>
  <c r="F7687" i="87"/>
  <c r="F6935" i="87"/>
  <c r="F7183" i="87"/>
  <c r="F2773" i="87"/>
  <c r="F7673" i="87"/>
  <c r="F6806" i="87"/>
  <c r="F6812" i="87"/>
  <c r="F7544" i="87"/>
  <c r="F5219" i="87"/>
  <c r="F6035" i="87"/>
  <c r="F6045" i="87"/>
  <c r="F5984" i="87"/>
  <c r="F7838" i="87"/>
  <c r="F5021" i="87"/>
  <c r="F6757" i="87"/>
  <c r="F5687" i="87"/>
  <c r="F6330" i="87"/>
  <c r="F2924" i="87"/>
  <c r="F824" i="87"/>
  <c r="F6418" i="87"/>
  <c r="F4863" i="87"/>
  <c r="F5459" i="87"/>
  <c r="F7484" i="87"/>
  <c r="F5044" i="87"/>
  <c r="F6098" i="87"/>
  <c r="F7508" i="87"/>
  <c r="F7342" i="87"/>
  <c r="F4808" i="87"/>
  <c r="F6607" i="87"/>
  <c r="F1304" i="87"/>
  <c r="F3475" i="87"/>
  <c r="F7659" i="87"/>
  <c r="F6343" i="87"/>
  <c r="F7875" i="87"/>
  <c r="E7875" i="87" s="1"/>
  <c r="F5941" i="87"/>
  <c r="F6982" i="87"/>
  <c r="F6718" i="87"/>
  <c r="F4283" i="87"/>
  <c r="F7581" i="87"/>
  <c r="F5788" i="87"/>
  <c r="F7720" i="87"/>
  <c r="F7656" i="87"/>
  <c r="F6698" i="87"/>
  <c r="F6575" i="87"/>
  <c r="F6401" i="87"/>
  <c r="F7395" i="87"/>
  <c r="F7738" i="87"/>
  <c r="F6073" i="87"/>
  <c r="F2901" i="87"/>
  <c r="F6333" i="87"/>
  <c r="F860" i="87"/>
  <c r="F7250" i="87"/>
  <c r="F4285" i="87"/>
  <c r="F1466" i="87"/>
  <c r="F7598" i="87"/>
  <c r="F993" i="87"/>
  <c r="F5000" i="87"/>
  <c r="F3569" i="87"/>
  <c r="F5673" i="87"/>
  <c r="F6691" i="87"/>
  <c r="F6873" i="87"/>
  <c r="F6214" i="87"/>
  <c r="F6031" i="87"/>
  <c r="F6488" i="87"/>
  <c r="F912" i="87"/>
  <c r="F4266" i="87"/>
  <c r="F2702" i="87"/>
  <c r="F7213" i="87"/>
  <c r="F6146" i="87"/>
  <c r="F4019" i="87"/>
  <c r="F3024" i="87"/>
  <c r="F7024" i="87"/>
  <c r="F6215" i="87"/>
  <c r="F7452" i="87"/>
  <c r="F5296" i="87"/>
  <c r="F6887" i="87"/>
  <c r="F5224" i="87"/>
  <c r="F6194" i="87"/>
  <c r="F5049" i="87"/>
  <c r="F5537" i="87"/>
  <c r="F6379" i="87"/>
  <c r="F960" i="87"/>
  <c r="F4796" i="87"/>
  <c r="F6426" i="87"/>
  <c r="F4282" i="87"/>
  <c r="F3363" i="87"/>
  <c r="F7277" i="87"/>
  <c r="F1213" i="87"/>
  <c r="F6886" i="87"/>
  <c r="F4022" i="87"/>
  <c r="F1378" i="87"/>
  <c r="F2707" i="87"/>
  <c r="F5066" i="87"/>
  <c r="F5131" i="87"/>
  <c r="F5940" i="87"/>
  <c r="F6308" i="87"/>
  <c r="F2776" i="87"/>
  <c r="F6737" i="87"/>
  <c r="F4279" i="87"/>
  <c r="F2944" i="87"/>
  <c r="F6002" i="87"/>
  <c r="F6796" i="87"/>
  <c r="F7362" i="87"/>
  <c r="F6959" i="87"/>
  <c r="F6253" i="87"/>
  <c r="F923" i="87"/>
  <c r="F7722" i="87"/>
  <c r="F4125" i="87"/>
  <c r="F6327" i="87"/>
  <c r="F6899" i="87"/>
  <c r="F4809" i="87"/>
  <c r="F3022" i="87"/>
  <c r="F5003" i="87"/>
  <c r="F5873" i="87"/>
  <c r="F7610" i="87"/>
  <c r="F7402" i="87"/>
  <c r="F6148" i="87"/>
  <c r="F58" i="87"/>
  <c r="F7641" i="87"/>
  <c r="F4018" i="87"/>
  <c r="F748" i="87"/>
  <c r="F6907" i="87"/>
  <c r="F7534" i="87"/>
  <c r="F6230" i="87"/>
  <c r="F5184" i="87"/>
  <c r="F749" i="87"/>
  <c r="F7547" i="87"/>
  <c r="F5057" i="87"/>
  <c r="F3197" i="87"/>
  <c r="F7305" i="87"/>
  <c r="F5525" i="87"/>
  <c r="F6093" i="87"/>
  <c r="F6803" i="87"/>
  <c r="F7223" i="87"/>
  <c r="F7629" i="87"/>
  <c r="F7093" i="87"/>
  <c r="F6473" i="87"/>
  <c r="F7499" i="87"/>
  <c r="F6059" i="87"/>
  <c r="F4891" i="87"/>
  <c r="F5288" i="87"/>
  <c r="F48" i="87"/>
  <c r="F7741" i="87"/>
  <c r="F721" i="87"/>
  <c r="F6235" i="87"/>
  <c r="F5864" i="87"/>
  <c r="F5818" i="87"/>
  <c r="F4351" i="87"/>
  <c r="F4364" i="87"/>
  <c r="F6226" i="87"/>
  <c r="F7022" i="87"/>
  <c r="F6707" i="87"/>
  <c r="F7693" i="87"/>
  <c r="F1187" i="87"/>
  <c r="F6877" i="87"/>
  <c r="F2764" i="87"/>
  <c r="F1198" i="87"/>
  <c r="F6847" i="87"/>
  <c r="F6816" i="87"/>
  <c r="F596" i="87"/>
  <c r="F7850" i="87"/>
  <c r="E7850" i="87" s="1"/>
  <c r="F6142" i="87"/>
  <c r="F6754" i="87"/>
  <c r="F6032" i="87"/>
  <c r="F4136" i="87"/>
  <c r="F2743" i="87"/>
  <c r="F2757" i="87"/>
  <c r="F4135" i="87"/>
  <c r="F6117" i="87"/>
  <c r="F7502" i="87"/>
  <c r="F6788" i="87"/>
  <c r="F3596" i="87"/>
  <c r="F5860" i="87"/>
  <c r="F1164" i="87"/>
  <c r="F6040" i="87"/>
  <c r="F5545" i="87"/>
  <c r="F3583" i="87"/>
  <c r="F7412" i="87"/>
  <c r="F5675" i="87"/>
  <c r="F1375" i="87"/>
  <c r="F7375" i="87"/>
  <c r="F7698" i="87"/>
  <c r="F7482" i="87"/>
  <c r="F7295" i="87"/>
  <c r="F6673" i="87"/>
  <c r="F6318" i="87"/>
  <c r="F6265" i="87"/>
  <c r="F5035" i="87"/>
  <c r="F6840" i="87"/>
  <c r="F6285" i="87"/>
  <c r="F6683" i="87"/>
  <c r="F6288" i="87"/>
  <c r="F6307" i="87"/>
  <c r="F2745" i="87"/>
  <c r="F6004" i="87"/>
  <c r="F3355" i="87"/>
  <c r="F927" i="87"/>
  <c r="F7444" i="87"/>
  <c r="F5375" i="87"/>
  <c r="F7290" i="87"/>
  <c r="F7710" i="87"/>
  <c r="F7334" i="87"/>
  <c r="F6712" i="87"/>
  <c r="F6693" i="87"/>
  <c r="F1478" i="87"/>
  <c r="F6911" i="87"/>
  <c r="F6764" i="87"/>
  <c r="F6206" i="87"/>
  <c r="F1353" i="87"/>
  <c r="F6213" i="87"/>
  <c r="F7526" i="87"/>
  <c r="F6042" i="87"/>
  <c r="F1173" i="87"/>
  <c r="F5678" i="87"/>
  <c r="F6154" i="87"/>
  <c r="F6915" i="87"/>
  <c r="F7512" i="87"/>
  <c r="F6293" i="87"/>
  <c r="F85" i="87"/>
  <c r="F3561" i="87"/>
  <c r="F6410" i="87"/>
  <c r="F866" i="87"/>
  <c r="F6980" i="87"/>
  <c r="F4306" i="87"/>
  <c r="F3201" i="87"/>
  <c r="F4288" i="87"/>
  <c r="F6372" i="87"/>
  <c r="F2713" i="87"/>
  <c r="F7440" i="87"/>
  <c r="F6936" i="87"/>
  <c r="F6752" i="87"/>
  <c r="F6001" i="87"/>
  <c r="F6101" i="87"/>
  <c r="F7537" i="87"/>
  <c r="F5453" i="87"/>
  <c r="F7494" i="87"/>
  <c r="F7864" i="87"/>
  <c r="E7864" i="87" s="1"/>
  <c r="F3179" i="87"/>
  <c r="F6405" i="87"/>
  <c r="F7416" i="87"/>
  <c r="F3522" i="87"/>
  <c r="F7854" i="87"/>
  <c r="E7854" i="87" s="1"/>
  <c r="F5762" i="87"/>
  <c r="F6781" i="87"/>
  <c r="F4830" i="87"/>
  <c r="F7684" i="87"/>
  <c r="F6703" i="87"/>
  <c r="F6203" i="87"/>
  <c r="F2942" i="87"/>
  <c r="F7660" i="87"/>
  <c r="F6853" i="87"/>
  <c r="F6255" i="87"/>
  <c r="F693" i="87"/>
  <c r="F6632" i="87"/>
  <c r="F5529" i="87"/>
  <c r="F7336" i="87"/>
  <c r="F6714" i="87"/>
  <c r="F650" i="87"/>
  <c r="F6036" i="87"/>
  <c r="F7439" i="87"/>
  <c r="F7492" i="87"/>
  <c r="F6373" i="87"/>
  <c r="F5031" i="87"/>
  <c r="F7509" i="87"/>
  <c r="F7479" i="87"/>
  <c r="F1377" i="87"/>
  <c r="F2904" i="87"/>
  <c r="F4828" i="87"/>
  <c r="F268" i="87"/>
  <c r="F4058" i="87"/>
  <c r="F5528" i="87"/>
  <c r="F4313" i="87"/>
  <c r="F6398" i="87"/>
  <c r="F6223" i="87"/>
  <c r="F7725" i="87"/>
  <c r="F6583" i="87"/>
  <c r="F7599" i="87"/>
  <c r="F3027" i="87"/>
  <c r="F6359" i="87"/>
  <c r="F5026" i="87"/>
  <c r="F6103" i="87"/>
  <c r="F5291" i="87"/>
  <c r="F6688" i="87"/>
  <c r="F7616" i="87"/>
  <c r="F3564" i="87"/>
  <c r="F5799" i="87"/>
  <c r="F672" i="87"/>
  <c r="F2902" i="87"/>
  <c r="F7146" i="87"/>
  <c r="F6953" i="87"/>
  <c r="F4866" i="87"/>
  <c r="F5383" i="87"/>
  <c r="F814" i="87"/>
  <c r="F1463" i="87"/>
  <c r="F5871" i="87"/>
  <c r="F6605" i="87"/>
  <c r="F6286" i="87"/>
  <c r="F7861" i="87"/>
  <c r="E7861" i="87" s="1"/>
  <c r="F893" i="87"/>
  <c r="F7454" i="87"/>
  <c r="F5047" i="87"/>
  <c r="F5617" i="87"/>
  <c r="F6483" i="87"/>
  <c r="F7030" i="87"/>
  <c r="F5059" i="87"/>
  <c r="F6087" i="87"/>
  <c r="F6904" i="87"/>
  <c r="F6645" i="87"/>
  <c r="F7527" i="87"/>
  <c r="F4352" i="87"/>
  <c r="F700" i="87"/>
  <c r="F6627" i="87"/>
  <c r="F4171" i="87"/>
  <c r="F6357" i="87"/>
  <c r="F7501" i="87"/>
  <c r="F692" i="87"/>
  <c r="F2999" i="87"/>
  <c r="F7628" i="87"/>
  <c r="F6589" i="87"/>
  <c r="F7873" i="87"/>
  <c r="E7873" i="87" s="1"/>
  <c r="F6074" i="87"/>
  <c r="F963" i="87"/>
  <c r="F6311" i="87"/>
  <c r="F7728" i="87"/>
  <c r="F5071" i="87"/>
  <c r="F3240" i="87"/>
  <c r="F7653" i="87"/>
  <c r="F900" i="87"/>
  <c r="F728" i="87"/>
  <c r="F7471" i="87"/>
  <c r="F7740" i="87"/>
  <c r="F7669" i="87"/>
  <c r="F5518" i="87"/>
  <c r="F6867" i="87"/>
  <c r="F4274" i="87"/>
  <c r="F6753" i="87"/>
  <c r="F915" i="87"/>
  <c r="F6893" i="87"/>
  <c r="F7750" i="87"/>
  <c r="F6091" i="87"/>
  <c r="F6251" i="87"/>
  <c r="F7626" i="87"/>
  <c r="F5465" i="87"/>
  <c r="F5115" i="87"/>
  <c r="F5191" i="87"/>
  <c r="F985" i="87"/>
  <c r="F3358" i="87"/>
  <c r="F6163" i="87"/>
  <c r="F7448" i="87"/>
  <c r="F2050" i="87"/>
  <c r="F1362" i="87"/>
  <c r="F7692" i="87"/>
  <c r="F4314" i="87"/>
  <c r="F7587" i="87"/>
  <c r="F7589" i="87"/>
  <c r="F5306" i="87"/>
  <c r="F4258" i="87"/>
  <c r="F6005" i="87"/>
  <c r="F6314" i="87"/>
  <c r="F4967" i="87"/>
  <c r="F5020" i="87"/>
  <c r="F7357" i="87"/>
  <c r="F691" i="87"/>
  <c r="F5503" i="87"/>
  <c r="F5505" i="87"/>
  <c r="F151" i="87"/>
  <c r="F6161" i="87"/>
  <c r="F7432" i="87"/>
  <c r="F5218" i="87"/>
  <c r="F5185" i="87"/>
  <c r="F6906" i="87"/>
  <c r="F5303" i="87"/>
  <c r="F7360" i="87"/>
  <c r="F7528" i="87"/>
  <c r="F7405" i="87"/>
  <c r="F7490" i="87"/>
  <c r="F6750" i="87"/>
  <c r="F5097" i="87"/>
  <c r="F843" i="87"/>
  <c r="F3332" i="87"/>
  <c r="F6021" i="87"/>
  <c r="F2891" i="87"/>
  <c r="F7569" i="87"/>
  <c r="F1340" i="87"/>
  <c r="F7455" i="87"/>
  <c r="F5458" i="87"/>
  <c r="F6850" i="87"/>
  <c r="F6739" i="87"/>
  <c r="F6751" i="87"/>
  <c r="F1176" i="87"/>
  <c r="F7649" i="87"/>
  <c r="F4336" i="87"/>
  <c r="F6150" i="87"/>
  <c r="F1381" i="87"/>
  <c r="F3528" i="87"/>
  <c r="F6898" i="87"/>
  <c r="F7032" i="87"/>
  <c r="F5460" i="87"/>
  <c r="F595" i="87"/>
  <c r="F3589" i="87"/>
  <c r="F6069" i="87"/>
  <c r="F6345" i="87"/>
  <c r="F7031" i="87"/>
  <c r="F6629" i="87"/>
  <c r="F853" i="87"/>
  <c r="F6786" i="87"/>
  <c r="F5701" i="87"/>
  <c r="F5282" i="87"/>
  <c r="F159" i="87"/>
  <c r="F6301" i="87"/>
  <c r="F6797" i="87"/>
  <c r="F6643" i="87"/>
  <c r="F7491" i="87"/>
  <c r="F4354" i="87"/>
  <c r="F6317" i="87"/>
  <c r="F792" i="87"/>
  <c r="F727" i="87"/>
  <c r="F848" i="87"/>
  <c r="F6862" i="87"/>
  <c r="F1346" i="87"/>
  <c r="F7343" i="87"/>
  <c r="F6988" i="87"/>
  <c r="F6939" i="87"/>
  <c r="F1352" i="87"/>
  <c r="F5245" i="87"/>
  <c r="F6363" i="87"/>
  <c r="F3592" i="87"/>
  <c r="F6984" i="87"/>
  <c r="F5199" i="87"/>
  <c r="F7040" i="87"/>
  <c r="F6946" i="87"/>
  <c r="F6274" i="87"/>
  <c r="F7592" i="87"/>
  <c r="F5048" i="87"/>
  <c r="F5096" i="87"/>
  <c r="F6684" i="87"/>
  <c r="F6995" i="87"/>
  <c r="F6938" i="87"/>
  <c r="F6476" i="87"/>
  <c r="F4827" i="87"/>
  <c r="F901" i="87"/>
  <c r="F6945" i="87"/>
  <c r="F3575" i="87"/>
  <c r="F7648" i="87"/>
  <c r="F4065" i="87"/>
  <c r="F6918" i="87"/>
  <c r="F6108" i="87"/>
  <c r="F6729" i="87"/>
  <c r="F4971" i="87"/>
  <c r="F7428" i="87"/>
  <c r="F5699" i="87"/>
  <c r="F6854" i="87"/>
  <c r="F2" i="87"/>
  <c r="F3571" i="87"/>
  <c r="F6207" i="87"/>
  <c r="F2665" i="87"/>
  <c r="F1291" i="87"/>
  <c r="F6219" i="87"/>
  <c r="F265" i="87"/>
  <c r="F31" i="87"/>
  <c r="F6909" i="87"/>
  <c r="F5640" i="87"/>
  <c r="F7636" i="87"/>
  <c r="F842" i="87"/>
  <c r="F7385" i="87"/>
  <c r="F6811" i="87"/>
  <c r="F6176" i="87"/>
  <c r="F6767" i="87"/>
  <c r="F970" i="87"/>
  <c r="F7477" i="87"/>
  <c r="F7513" i="87"/>
  <c r="F904" i="87"/>
  <c r="F5368" i="87"/>
  <c r="F5707" i="87"/>
  <c r="F839" i="87"/>
  <c r="F6197" i="87"/>
  <c r="F6278" i="87"/>
  <c r="F2936" i="87"/>
  <c r="F718" i="87"/>
  <c r="F6924" i="87"/>
  <c r="F3004" i="87"/>
  <c r="F1575" i="87"/>
  <c r="F6110" i="87"/>
  <c r="F4302" i="87"/>
  <c r="F6181" i="87"/>
  <c r="F841" i="87"/>
  <c r="F7644" i="87"/>
  <c r="F2895" i="87"/>
  <c r="F5975" i="87"/>
  <c r="F6222" i="87"/>
  <c r="F4262" i="87"/>
  <c r="F597" i="87"/>
  <c r="F43" i="87"/>
  <c r="F7373" i="87"/>
  <c r="F6347" i="87"/>
  <c r="F4797" i="87"/>
  <c r="F4320" i="87"/>
  <c r="F6785" i="87"/>
  <c r="F68" i="87"/>
  <c r="F4060" i="87"/>
  <c r="F7064" i="87"/>
  <c r="F5177" i="87"/>
  <c r="F7594" i="87"/>
  <c r="F7328" i="87"/>
  <c r="F7421" i="87"/>
  <c r="F6232" i="87"/>
  <c r="F835" i="87"/>
  <c r="F976" i="87"/>
  <c r="F6095" i="87"/>
  <c r="F6147" i="87"/>
  <c r="F7366" i="87"/>
  <c r="F7351" i="87"/>
  <c r="F7012" i="87"/>
  <c r="F7662" i="87"/>
  <c r="F7391" i="87"/>
  <c r="F6857" i="87"/>
  <c r="F6776" i="87"/>
  <c r="F3001" i="87"/>
  <c r="F6366" i="87"/>
  <c r="F7381" i="87"/>
  <c r="F779" i="87"/>
  <c r="F6313" i="87"/>
  <c r="F6339" i="87"/>
  <c r="F7676" i="87"/>
  <c r="F7745" i="87"/>
  <c r="F7604" i="87"/>
  <c r="F6722" i="87"/>
  <c r="F2742" i="87"/>
  <c r="F906" i="87"/>
  <c r="F959" i="87"/>
  <c r="F7326" i="87"/>
  <c r="F6196" i="87"/>
  <c r="F6686" i="87"/>
  <c r="F969" i="87"/>
  <c r="F966" i="87"/>
  <c r="F5055" i="87"/>
  <c r="F922" i="87"/>
  <c r="F6412" i="87"/>
  <c r="F7681" i="87"/>
  <c r="F1493" i="87"/>
  <c r="F7422" i="87"/>
  <c r="F3477" i="87"/>
  <c r="F2770" i="87"/>
  <c r="F1393" i="87"/>
  <c r="F7588" i="87"/>
  <c r="F6671" i="87"/>
  <c r="F6760" i="87"/>
  <c r="F1484" i="87"/>
  <c r="F7193" i="87"/>
  <c r="F7605" i="87"/>
  <c r="F1206" i="87"/>
  <c r="F3568" i="87"/>
  <c r="F4833" i="87"/>
  <c r="F1487" i="87"/>
  <c r="F5802" i="87"/>
  <c r="F6670" i="87"/>
  <c r="F7272" i="87"/>
  <c r="F758" i="87"/>
  <c r="F7704" i="87"/>
  <c r="F7352" i="87"/>
  <c r="F806" i="87"/>
  <c r="F5078" i="87"/>
  <c r="F7611" i="87"/>
  <c r="F6070" i="87"/>
  <c r="F6115" i="87"/>
  <c r="F4299" i="87"/>
  <c r="F6985" i="87"/>
  <c r="F6864" i="87"/>
  <c r="F4028" i="87"/>
  <c r="F743" i="87"/>
  <c r="F6923" i="87"/>
  <c r="F7372" i="87"/>
  <c r="F7752" i="87"/>
  <c r="F7849" i="87"/>
  <c r="E7849" i="87" s="1"/>
  <c r="F5259" i="87"/>
  <c r="F7039" i="87"/>
  <c r="F6888" i="87"/>
  <c r="F6952" i="87"/>
  <c r="F6573" i="87"/>
  <c r="F5175" i="87"/>
  <c r="F7469" i="87"/>
  <c r="F1279" i="87"/>
  <c r="F5512" i="87"/>
  <c r="F1180" i="87"/>
  <c r="F7530" i="87"/>
  <c r="F7302" i="87"/>
  <c r="F6351" i="87"/>
  <c r="F5742" i="87"/>
  <c r="F1394" i="87"/>
  <c r="F3028" i="87"/>
  <c r="F6824" i="87"/>
  <c r="F7860" i="87"/>
  <c r="E7860" i="87" s="1"/>
  <c r="F847" i="87"/>
  <c r="F6205" i="87"/>
  <c r="F7007" i="87"/>
  <c r="F7651" i="87"/>
  <c r="F7456" i="87"/>
  <c r="F789" i="87"/>
  <c r="F6384" i="87"/>
  <c r="F6884" i="87"/>
  <c r="F6631" i="87"/>
  <c r="F155" i="87"/>
  <c r="F6932" i="87"/>
  <c r="F795" i="87"/>
  <c r="F7431" i="87"/>
  <c r="F5051" i="87"/>
  <c r="F6135" i="87"/>
  <c r="F6837" i="87"/>
  <c r="F2925" i="87"/>
  <c r="F726" i="87"/>
  <c r="F7216" i="87"/>
  <c r="F1172" i="87"/>
  <c r="F6845" i="87"/>
  <c r="F7733" i="87"/>
  <c r="F649" i="87"/>
  <c r="F738" i="87"/>
  <c r="F6700" i="87"/>
  <c r="F74" i="87"/>
  <c r="F6852" i="87"/>
  <c r="F6399" i="87"/>
  <c r="F7729" i="87"/>
  <c r="F7596" i="87"/>
  <c r="F4859" i="87"/>
  <c r="F911" i="87"/>
  <c r="F6759" i="87"/>
  <c r="F2738" i="87"/>
  <c r="F7286" i="87"/>
  <c r="F6020" i="87"/>
  <c r="F7851" i="87"/>
  <c r="E7851" i="87" s="1"/>
  <c r="F7652" i="87"/>
  <c r="F7723" i="87"/>
  <c r="F725" i="87"/>
  <c r="F7635" i="87"/>
  <c r="F1171" i="87"/>
  <c r="F6947" i="87"/>
  <c r="F7554" i="87"/>
  <c r="F19" i="87"/>
  <c r="F663" i="87"/>
  <c r="F2784" i="87"/>
  <c r="F4062" i="87"/>
  <c r="F6075" i="87"/>
  <c r="F6149" i="87"/>
  <c r="F4308" i="87"/>
  <c r="F7396" i="87"/>
  <c r="F6611" i="87"/>
  <c r="F5608" i="87"/>
  <c r="F4312" i="87"/>
  <c r="F6926" i="87"/>
  <c r="F6892" i="87"/>
  <c r="F5598" i="87"/>
  <c r="F2710" i="87"/>
  <c r="F4286" i="87"/>
  <c r="F7333" i="87"/>
  <c r="F7410" i="87"/>
  <c r="F3576" i="87"/>
  <c r="F6641" i="87"/>
  <c r="F6951" i="87"/>
  <c r="F5609" i="87"/>
  <c r="F5761" i="87"/>
  <c r="F6723" i="87"/>
  <c r="F6011" i="87"/>
  <c r="F5520" i="87"/>
  <c r="F5467" i="87"/>
  <c r="F5279" i="87"/>
  <c r="F3427" i="87"/>
  <c r="F6628" i="87"/>
  <c r="F22" i="87"/>
  <c r="F1382" i="87"/>
  <c r="F4324" i="87"/>
  <c r="F4758" i="87"/>
  <c r="F6756" i="87"/>
  <c r="F97" i="87"/>
  <c r="F4755" i="87"/>
  <c r="F6051" i="87"/>
  <c r="F7103" i="87"/>
  <c r="F685" i="87"/>
  <c r="F6925" i="87"/>
  <c r="F6928" i="87"/>
  <c r="F6809" i="87"/>
  <c r="F766" i="87"/>
  <c r="F7600" i="87"/>
  <c r="F6272" i="87"/>
  <c r="F6237" i="87"/>
  <c r="F4281" i="87"/>
  <c r="F6585" i="87"/>
  <c r="F6326" i="87"/>
  <c r="F7397" i="87"/>
  <c r="F2756" i="87"/>
  <c r="F3646" i="87"/>
  <c r="F6022" i="87"/>
  <c r="F5108" i="87"/>
  <c r="F44" i="87"/>
  <c r="F7744" i="87"/>
  <c r="F6245" i="87"/>
  <c r="F1282" i="87"/>
  <c r="F1" i="87"/>
  <c r="F3430" i="87"/>
  <c r="F6827" i="87"/>
  <c r="F6934" i="87"/>
  <c r="F6464" i="87"/>
  <c r="F5469" i="87"/>
  <c r="F5523" i="87"/>
  <c r="F7727" i="87"/>
  <c r="F3321" i="87"/>
  <c r="F962" i="87"/>
  <c r="F3178" i="87"/>
  <c r="F6380" i="87"/>
  <c r="F132" i="87"/>
  <c r="F157" i="87"/>
  <c r="F4273" i="87"/>
  <c r="F6889" i="87"/>
  <c r="F6321" i="87"/>
  <c r="F723" i="87"/>
  <c r="F7330" i="87"/>
  <c r="F7254" i="87"/>
  <c r="F5054" i="87"/>
  <c r="F6807" i="87"/>
  <c r="F5519" i="87"/>
  <c r="F7463" i="87"/>
  <c r="F5683" i="87"/>
  <c r="F7855" i="87"/>
  <c r="E7855" i="87" s="1"/>
  <c r="F5384" i="87"/>
  <c r="F6079" i="87"/>
  <c r="F52" i="87"/>
  <c r="F844" i="87"/>
  <c r="F2752" i="87"/>
  <c r="F7839" i="87"/>
  <c r="F5070" i="87"/>
  <c r="F6774" i="87"/>
  <c r="F6100" i="87"/>
  <c r="F6930" i="87"/>
  <c r="F135" i="87"/>
  <c r="F670" i="87"/>
  <c r="F6820" i="87"/>
  <c r="F5997" i="87"/>
  <c r="F444" i="87"/>
  <c r="F7018" i="87"/>
  <c r="F7674" i="87"/>
  <c r="F1255" i="87"/>
  <c r="F6178" i="87"/>
  <c r="F6168" i="87"/>
  <c r="F6047" i="87"/>
  <c r="F7349" i="87"/>
  <c r="F5472" i="87"/>
  <c r="F6385" i="87"/>
  <c r="F4290" i="87"/>
  <c r="F7120" i="87"/>
  <c r="F5944" i="87"/>
  <c r="F67" i="87"/>
  <c r="F7515" i="87"/>
  <c r="F6489" i="87"/>
  <c r="F7449" i="87"/>
  <c r="F6773" i="87"/>
  <c r="F6298" i="87"/>
  <c r="F6102" i="87"/>
  <c r="F3490" i="87"/>
  <c r="F6680" i="87"/>
  <c r="F1260" i="87"/>
  <c r="F7577" i="87"/>
  <c r="F6519" i="87"/>
  <c r="F4864" i="87"/>
  <c r="F7563" i="87"/>
  <c r="F6677" i="87"/>
  <c r="F680" i="87"/>
  <c r="F7241" i="87"/>
  <c r="F7386" i="87"/>
  <c r="F4323" i="87"/>
  <c r="F6728" i="87"/>
  <c r="F7632" i="87"/>
  <c r="F6029" i="87"/>
  <c r="F7409" i="87"/>
  <c r="F4154" i="87"/>
  <c r="F5042" i="87"/>
  <c r="F6210" i="87"/>
  <c r="F3195" i="87"/>
  <c r="F6813" i="87"/>
  <c r="F7337" i="87"/>
  <c r="F7552" i="87"/>
  <c r="F5824" i="87"/>
  <c r="F5009" i="87"/>
  <c r="F6826" i="87"/>
  <c r="F5865" i="87"/>
  <c r="F5998" i="87"/>
  <c r="F4740" i="87"/>
  <c r="F4161" i="87"/>
  <c r="F6685" i="87"/>
  <c r="F6521" i="87"/>
  <c r="F742" i="87"/>
  <c r="F3241" i="87"/>
  <c r="F5272" i="87"/>
  <c r="F3436" i="87"/>
  <c r="F7575" i="87"/>
  <c r="F6126" i="87"/>
  <c r="F6902" i="87"/>
  <c r="F4023" i="87"/>
  <c r="F3002" i="87"/>
  <c r="F6012" i="87"/>
  <c r="F6276" i="87"/>
  <c r="F23" i="87"/>
  <c r="F75" i="87"/>
  <c r="F5527" i="87"/>
  <c r="F5497" i="87"/>
  <c r="F673" i="87"/>
  <c r="F782" i="87"/>
  <c r="F5815" i="87"/>
  <c r="F5735" i="87"/>
  <c r="F5511" i="87"/>
  <c r="F6679" i="87"/>
  <c r="F6790" i="87"/>
  <c r="F6922" i="87"/>
  <c r="F7859" i="87"/>
  <c r="E7859" i="87" s="1"/>
  <c r="F5524" i="87"/>
  <c r="F7025" i="87"/>
  <c r="F6896" i="87"/>
  <c r="F7524" i="87"/>
  <c r="F6111" i="87"/>
  <c r="F7331" i="87"/>
  <c r="F7401" i="87"/>
  <c r="F6015" i="87"/>
  <c r="F6474" i="87"/>
  <c r="F5301" i="87"/>
  <c r="F6281" i="87"/>
  <c r="F3265" i="87"/>
  <c r="F7023" i="87"/>
  <c r="F6282" i="87"/>
  <c r="F6192" i="87"/>
  <c r="F6199" i="87"/>
  <c r="F2941" i="87"/>
  <c r="F4259" i="87"/>
  <c r="F99" i="87"/>
  <c r="F6726" i="87"/>
  <c r="F2736" i="87"/>
  <c r="F3585" i="87"/>
  <c r="F2701" i="87"/>
  <c r="F5508" i="87"/>
  <c r="F7642" i="87"/>
  <c r="F7399" i="87"/>
  <c r="F5679" i="87"/>
  <c r="F445" i="87"/>
  <c r="F6929" i="87"/>
  <c r="F4265" i="87"/>
  <c r="F5466" i="87"/>
  <c r="F6139" i="87"/>
  <c r="F5635" i="87"/>
  <c r="F6708" i="87"/>
  <c r="F5092" i="87"/>
  <c r="F7643" i="87"/>
  <c r="F5804" i="87"/>
  <c r="F7354" i="87"/>
  <c r="F4743" i="87"/>
  <c r="F7672" i="87"/>
  <c r="F5200" i="87"/>
  <c r="F7245" i="87"/>
  <c r="F5318" i="87"/>
  <c r="F660" i="87"/>
  <c r="F7435" i="87"/>
  <c r="F7459" i="87"/>
  <c r="F7567" i="87"/>
  <c r="F894" i="87"/>
  <c r="F3311" i="87"/>
  <c r="F5676" i="87"/>
  <c r="F3174" i="87"/>
  <c r="F149" i="87"/>
  <c r="F656" i="87"/>
  <c r="F4261" i="87"/>
  <c r="F1201" i="87"/>
  <c r="F7539" i="87"/>
  <c r="F6216" i="87"/>
  <c r="F7602" i="87"/>
  <c r="F5039" i="87"/>
  <c r="F2704" i="87"/>
  <c r="F6138" i="87"/>
  <c r="F914" i="87"/>
  <c r="F6316" i="87"/>
  <c r="F7010" i="87"/>
  <c r="F7591" i="87"/>
  <c r="F6165" i="87"/>
  <c r="F796" i="87"/>
  <c r="F7711" i="87"/>
  <c r="F4280" i="87"/>
  <c r="F7595" i="87"/>
  <c r="F7425" i="87"/>
  <c r="F6808" i="87"/>
  <c r="F5535" i="87"/>
  <c r="F1561" i="87"/>
  <c r="F6732" i="87"/>
  <c r="F6941" i="87"/>
  <c r="F5339" i="87"/>
  <c r="F5370" i="87"/>
  <c r="F6289" i="87"/>
  <c r="F6123" i="87"/>
  <c r="F6312" i="87"/>
  <c r="F3196" i="87"/>
  <c r="F7379" i="87"/>
  <c r="F7163" i="87"/>
  <c r="F6089" i="87"/>
  <c r="F6879" i="87"/>
  <c r="F7378" i="87"/>
  <c r="F7408" i="87"/>
  <c r="F6171" i="87"/>
  <c r="F3" i="87"/>
  <c r="E3" i="87" s="1"/>
  <c r="F6400" i="87"/>
  <c r="F2788" i="87"/>
  <c r="F6077" i="87"/>
  <c r="F6177" i="87"/>
  <c r="F6084" i="87"/>
  <c r="F6769" i="87"/>
  <c r="F7866" i="87"/>
  <c r="E7866" i="87" s="1"/>
  <c r="F7415" i="87"/>
  <c r="F7663" i="87"/>
  <c r="F6794" i="87"/>
  <c r="F6597" i="87"/>
  <c r="F7418" i="87"/>
  <c r="F563" i="87"/>
  <c r="F6690" i="87"/>
  <c r="F5312" i="87"/>
  <c r="F7550" i="87"/>
  <c r="F6734" i="87"/>
  <c r="F836" i="87"/>
  <c r="F7706" i="87"/>
  <c r="F4123" i="87"/>
  <c r="F3182" i="87"/>
  <c r="F6217" i="87"/>
  <c r="F3526" i="87"/>
  <c r="F4749" i="87"/>
  <c r="F3175" i="87"/>
  <c r="F6920" i="87"/>
  <c r="F6218" i="87"/>
  <c r="F39" i="87"/>
  <c r="F7085" i="87"/>
  <c r="F3361" i="87"/>
  <c r="F5668" i="87"/>
  <c r="F4272" i="87"/>
  <c r="F5455" i="87"/>
  <c r="F1367" i="87"/>
  <c r="F1357" i="87"/>
  <c r="F668" i="87"/>
  <c r="F6179" i="87"/>
  <c r="F690" i="87"/>
  <c r="F6107" i="87"/>
  <c r="F3590" i="87"/>
  <c r="F5499" i="87"/>
  <c r="F5043" i="87"/>
  <c r="F5516" i="87"/>
  <c r="F6743" i="87"/>
  <c r="F2943" i="87"/>
  <c r="F4020" i="87"/>
  <c r="F2896" i="87"/>
  <c r="F5013" i="87"/>
  <c r="F7154" i="87"/>
  <c r="F36" i="87"/>
  <c r="F6912" i="87"/>
  <c r="F7654" i="87"/>
  <c r="F2746" i="87"/>
  <c r="F7748" i="87"/>
  <c r="F264" i="87"/>
  <c r="F7112" i="87"/>
  <c r="F7442" i="87"/>
  <c r="F7634" i="87"/>
  <c r="F4326" i="87"/>
  <c r="F7675" i="87"/>
  <c r="F7593" i="87"/>
  <c r="F1285" i="87"/>
  <c r="F982" i="87"/>
  <c r="F1317" i="87"/>
  <c r="F5473" i="87"/>
  <c r="F6630" i="87"/>
  <c r="F6180" i="87"/>
  <c r="F7579" i="87"/>
  <c r="F7035" i="87"/>
  <c r="F3003" i="87"/>
  <c r="F62" i="87"/>
  <c r="F6225" i="87"/>
  <c r="F682" i="87"/>
  <c r="F6007" i="87"/>
  <c r="F6092" i="87"/>
  <c r="F5869" i="87"/>
  <c r="F816" i="87"/>
  <c r="F5053" i="87"/>
  <c r="F684" i="87"/>
  <c r="F6804" i="87"/>
  <c r="F5183" i="87"/>
  <c r="F7556" i="87"/>
  <c r="F5060" i="87"/>
  <c r="F6119" i="87"/>
  <c r="F7384" i="87"/>
  <c r="F5002" i="87"/>
  <c r="F6855" i="87"/>
  <c r="F6259" i="87"/>
  <c r="F6802" i="87"/>
  <c r="F4133" i="87"/>
  <c r="F5440" i="87"/>
  <c r="F698" i="87"/>
  <c r="F26" i="87"/>
  <c r="F3369" i="87"/>
  <c r="F1369" i="87"/>
  <c r="F905" i="87"/>
  <c r="F735" i="87"/>
  <c r="F5684" i="87"/>
  <c r="F6396" i="87"/>
  <c r="F4109" i="87"/>
  <c r="F6715" i="87"/>
  <c r="F7568" i="87"/>
  <c r="F7489" i="87"/>
  <c r="F5538" i="87"/>
  <c r="F6280" i="87"/>
  <c r="F6828" i="87"/>
  <c r="F7099" i="87"/>
  <c r="F6987" i="87"/>
  <c r="F4322" i="87"/>
  <c r="F7657" i="87"/>
  <c r="F7497" i="87"/>
  <c r="F4359" i="87"/>
  <c r="F6866" i="87"/>
  <c r="F6277" i="87"/>
  <c r="F4736" i="87"/>
  <c r="F3366" i="87"/>
  <c r="F6846" i="87"/>
  <c r="F6761" i="87"/>
  <c r="F7650" i="87"/>
  <c r="F924" i="87"/>
  <c r="F6257" i="87"/>
  <c r="F7565" i="87"/>
  <c r="F7858" i="87"/>
  <c r="E7858" i="87" s="1"/>
  <c r="F5063" i="87"/>
  <c r="F6016" i="87"/>
  <c r="F7212" i="87"/>
  <c r="F7133" i="87"/>
  <c r="F7281" i="87"/>
  <c r="F7732" i="87"/>
  <c r="F6697" i="87"/>
  <c r="F6699" i="87"/>
  <c r="F1301" i="87"/>
  <c r="F7102" i="87"/>
  <c r="F6863" i="87"/>
  <c r="F3172" i="87"/>
  <c r="F6229" i="87"/>
  <c r="F7506" i="87"/>
  <c r="F5670" i="87"/>
  <c r="F7005" i="87"/>
  <c r="F7721" i="87"/>
  <c r="F6782" i="87"/>
  <c r="F1374" i="87"/>
  <c r="F7646" i="87"/>
  <c r="F7033" i="87"/>
  <c r="F5223" i="87"/>
  <c r="F2933" i="87"/>
  <c r="F1389" i="87"/>
  <c r="F695" i="87"/>
  <c r="F7299" i="87"/>
  <c r="F4390" i="87"/>
  <c r="F6013" i="87"/>
  <c r="F6993" i="87"/>
  <c r="F5038" i="87"/>
  <c r="F7713" i="87"/>
  <c r="F7532" i="87"/>
  <c r="F7329" i="87"/>
  <c r="F6325" i="87"/>
  <c r="F6856" i="87"/>
  <c r="F6992" i="87"/>
  <c r="F1358" i="87"/>
  <c r="F7622" i="87"/>
  <c r="F955" i="87"/>
  <c r="F7724" i="87"/>
  <c r="F3242" i="87"/>
  <c r="F5861" i="87"/>
  <c r="F562" i="87"/>
  <c r="F756" i="87"/>
  <c r="F5032" i="87"/>
  <c r="F5012" i="87"/>
  <c r="F6942" i="87"/>
  <c r="F6755" i="87"/>
  <c r="F809" i="87"/>
  <c r="F3524" i="87"/>
  <c r="F4889" i="87"/>
  <c r="F6871" i="87"/>
  <c r="F6338" i="87"/>
  <c r="F6109" i="87"/>
  <c r="F5522" i="87"/>
  <c r="F6792" i="87"/>
  <c r="F5033" i="87"/>
  <c r="F3331" i="87"/>
  <c r="F7586" i="87"/>
  <c r="F6114" i="87"/>
  <c r="F6388" i="87"/>
  <c r="F5823" i="87"/>
  <c r="F4319" i="87"/>
  <c r="F3431" i="87"/>
  <c r="F6204" i="87"/>
  <c r="F1359" i="87"/>
  <c r="F6822" i="87"/>
  <c r="F7522" i="87"/>
  <c r="F5639" i="87"/>
  <c r="F6129" i="87"/>
  <c r="F1472" i="87"/>
  <c r="F6295" i="87"/>
  <c r="F7694" i="87"/>
  <c r="F751" i="87"/>
  <c r="F4861" i="87"/>
  <c r="F801" i="87"/>
  <c r="F6315" i="87"/>
  <c r="F5276" i="87"/>
  <c r="F995" i="87"/>
  <c r="F5571" i="87"/>
  <c r="F7661" i="87"/>
  <c r="F5456" i="87"/>
  <c r="F2036" i="87"/>
  <c r="F5513" i="87"/>
  <c r="F6221" i="87"/>
  <c r="F7607" i="87"/>
  <c r="F6836" i="87"/>
  <c r="F6374" i="87"/>
  <c r="F7583" i="87"/>
  <c r="F1163" i="87"/>
  <c r="F674" i="87"/>
  <c r="F7680" i="87"/>
  <c r="F6140" i="87"/>
  <c r="F4737" i="87"/>
  <c r="F7712" i="87"/>
  <c r="F3601" i="87"/>
  <c r="F4363" i="87"/>
  <c r="F7227" i="87"/>
  <c r="F7585" i="87"/>
  <c r="F857" i="87"/>
  <c r="F719" i="87"/>
  <c r="F6131" i="87"/>
  <c r="F6848" i="87"/>
  <c r="F4361" i="87"/>
  <c r="F7683" i="87"/>
  <c r="F37" i="87"/>
  <c r="F4888" i="87"/>
  <c r="F6969" i="87"/>
  <c r="F6211" i="87"/>
  <c r="F4254" i="87"/>
  <c r="F745" i="87"/>
  <c r="F5005" i="87"/>
  <c r="F6727" i="87"/>
  <c r="F950" i="87"/>
  <c r="F4748" i="87"/>
  <c r="F6116" i="87"/>
  <c r="F2937" i="87"/>
  <c r="F5464" i="87"/>
  <c r="F6696" i="87"/>
  <c r="F7871" i="87"/>
  <c r="E7871" i="87" s="1"/>
  <c r="F1313" i="87"/>
  <c r="F6309" i="87"/>
  <c r="F7576" i="87"/>
  <c r="F981" i="87"/>
  <c r="F6134" i="87"/>
  <c r="F741" i="87"/>
  <c r="F6137" i="87"/>
  <c r="F5017" i="87"/>
  <c r="F4120" i="87"/>
  <c r="F5825" i="87"/>
  <c r="F7028" i="87"/>
  <c r="F7008" i="87"/>
  <c r="F2664" i="87"/>
  <c r="F708" i="87"/>
  <c r="F6082" i="87"/>
  <c r="F5112" i="87"/>
  <c r="F6112" i="87"/>
  <c r="F1350" i="87"/>
  <c r="F776" i="87"/>
  <c r="F6006" i="87"/>
  <c r="F2663" i="87"/>
  <c r="F6151" i="87"/>
  <c r="F793" i="87"/>
  <c r="F5058" i="87"/>
  <c r="F7423" i="87"/>
  <c r="F5081" i="87"/>
  <c r="F6833" i="87"/>
  <c r="F7637" i="87"/>
  <c r="F7640" i="87"/>
  <c r="F2667" i="87"/>
  <c r="F5284" i="87"/>
  <c r="F6099" i="87"/>
  <c r="F6144" i="87"/>
  <c r="F3221" i="87"/>
  <c r="F2765" i="87"/>
  <c r="F6060" i="87"/>
  <c r="F7433" i="87"/>
  <c r="F7739" i="87"/>
  <c r="F5086" i="87"/>
  <c r="F3643" i="87"/>
  <c r="F7451" i="87"/>
  <c r="F5192" i="87"/>
  <c r="F4284" i="87"/>
  <c r="F823" i="87"/>
  <c r="F2735" i="87"/>
  <c r="F5942" i="87"/>
  <c r="F6121" i="87"/>
  <c r="F6033" i="87"/>
  <c r="F6058" i="87"/>
  <c r="F7073" i="87"/>
  <c r="F7359" i="87"/>
  <c r="F3527" i="87"/>
  <c r="F3530" i="87"/>
  <c r="F6240" i="87"/>
  <c r="F103" i="87"/>
  <c r="F104" i="87"/>
  <c r="F720" i="87"/>
  <c r="F785" i="87"/>
  <c r="F7529" i="87"/>
  <c r="F5816" i="87"/>
  <c r="F4144" i="87"/>
  <c r="F7026" i="87"/>
  <c r="F5500" i="87"/>
  <c r="F3008" i="87"/>
  <c r="F5827" i="87"/>
  <c r="F7867" i="87"/>
  <c r="E7867" i="87" s="1"/>
  <c r="F6937" i="87"/>
  <c r="F3562" i="87"/>
  <c r="F781" i="87"/>
  <c r="F5939" i="87"/>
  <c r="F6200" i="87"/>
  <c r="F7034" i="87"/>
  <c r="F5109" i="87"/>
  <c r="F6090" i="87"/>
  <c r="F5328" i="87"/>
  <c r="F5407" i="87"/>
  <c r="F7856" i="87"/>
  <c r="E7856" i="87" s="1"/>
  <c r="F7590" i="87"/>
  <c r="F5121" i="87"/>
  <c r="F6944" i="87"/>
  <c r="F6349" i="87"/>
  <c r="F5994" i="87"/>
  <c r="F7580" i="87"/>
  <c r="F7584" i="87"/>
  <c r="F918" i="87"/>
  <c r="F6900" i="87"/>
  <c r="F800" i="87"/>
  <c r="F4119" i="87"/>
  <c r="F7582" i="87"/>
  <c r="F7488" i="87"/>
  <c r="F7338" i="87"/>
  <c r="F765" i="87"/>
  <c r="F7217" i="87"/>
  <c r="F5001" i="87"/>
  <c r="F3219" i="87"/>
  <c r="F802" i="87"/>
  <c r="F14" i="87"/>
  <c r="F2768" i="87"/>
  <c r="F7370" i="87"/>
  <c r="F6885" i="87"/>
  <c r="F6701" i="87"/>
  <c r="F4143" i="87"/>
  <c r="F7505" i="87"/>
  <c r="F7546" i="87"/>
  <c r="F1196" i="87"/>
  <c r="F6475" i="87"/>
  <c r="F3523" i="87"/>
  <c r="F6710" i="87"/>
  <c r="F7645" i="87"/>
  <c r="F7368" i="87"/>
  <c r="F5603" i="87"/>
  <c r="F5335" i="87"/>
  <c r="F7202" i="87"/>
  <c r="F7603" i="87"/>
  <c r="F6525" i="87"/>
  <c r="F856" i="87"/>
  <c r="F6758" i="87"/>
  <c r="F7742" i="87"/>
  <c r="F4271" i="87"/>
  <c r="F79" i="87"/>
  <c r="F6472" i="87"/>
  <c r="F7709" i="87"/>
  <c r="F1257" i="87"/>
  <c r="F6793" i="87"/>
  <c r="F6152" i="87"/>
  <c r="F6224" i="87"/>
  <c r="F1384" i="87"/>
  <c r="F3205" i="87"/>
  <c r="F5517" i="87"/>
  <c r="F7355" i="87"/>
  <c r="F6608" i="87"/>
  <c r="F7084" i="87"/>
  <c r="F990" i="87"/>
  <c r="F4956" i="87"/>
  <c r="F5831" i="87"/>
  <c r="F6083" i="87"/>
  <c r="F1294" i="87"/>
  <c r="F7195" i="87"/>
  <c r="F7852" i="87"/>
  <c r="E7852" i="87" s="1"/>
  <c r="F5686" i="87"/>
  <c r="F6404" i="87"/>
  <c r="F4970" i="87"/>
  <c r="F1469" i="87"/>
  <c r="F6957" i="87"/>
  <c r="F6275" i="87"/>
  <c r="F6780" i="87"/>
  <c r="F3315" i="87"/>
  <c r="F666" i="87"/>
  <c r="F679" i="87"/>
  <c r="F3181" i="87"/>
  <c r="F6783" i="87"/>
  <c r="F7536" i="87"/>
  <c r="F7702" i="87"/>
  <c r="F5682" i="87"/>
  <c r="F6716" i="87"/>
  <c r="F6076" i="87"/>
  <c r="F5285" i="87"/>
  <c r="F5665" i="87"/>
  <c r="F7531" i="87"/>
  <c r="F5672" i="87"/>
  <c r="F6334" i="87"/>
  <c r="F6523" i="87"/>
  <c r="F5077" i="87"/>
  <c r="F6303" i="87"/>
  <c r="F4256" i="87"/>
  <c r="F3319" i="87"/>
  <c r="F6981" i="87"/>
  <c r="F1251" i="87"/>
  <c r="F881" i="87"/>
  <c r="F7389" i="87"/>
  <c r="F564" i="87"/>
  <c r="F858" i="87"/>
  <c r="F1256" i="87"/>
  <c r="F4257" i="87"/>
  <c r="F6626" i="87"/>
  <c r="F6297" i="87"/>
  <c r="F6593" i="87"/>
  <c r="F5521" i="87"/>
  <c r="F677" i="87"/>
  <c r="F667" i="87"/>
  <c r="F4296" i="87"/>
  <c r="F6118" i="87"/>
  <c r="F6713" i="87"/>
  <c r="F6997" i="87"/>
  <c r="F6971" i="87"/>
  <c r="F6815" i="87"/>
  <c r="F6296" i="87"/>
  <c r="F6328" i="87"/>
  <c r="F6375" i="87"/>
  <c r="F5041" i="87"/>
  <c r="F5723" i="87"/>
  <c r="F7104" i="87"/>
  <c r="F147" i="87"/>
  <c r="F7558" i="87"/>
  <c r="F5337" i="87"/>
  <c r="F5298" i="87"/>
  <c r="F737" i="87"/>
  <c r="F865" i="87"/>
  <c r="F5932" i="87"/>
  <c r="F57" i="87"/>
  <c r="F5107" i="87"/>
  <c r="F6175" i="87"/>
  <c r="F4741" i="87"/>
  <c r="F7690" i="87"/>
  <c r="F6779" i="87"/>
  <c r="F3202" i="87"/>
  <c r="F7535" i="87"/>
  <c r="F7340" i="87"/>
  <c r="F5294" i="87"/>
  <c r="F6702" i="87"/>
  <c r="F6730" i="87"/>
  <c r="F6746" i="87"/>
  <c r="F902" i="87"/>
  <c r="F2669" i="87"/>
  <c r="F7232" i="87"/>
  <c r="F5429" i="87"/>
  <c r="F6414" i="87"/>
  <c r="F6717" i="87"/>
  <c r="F7358" i="87"/>
  <c r="F6903" i="87"/>
  <c r="F4890" i="87"/>
  <c r="F6706" i="87"/>
  <c r="F788" i="87"/>
  <c r="F7377" i="87"/>
  <c r="F6024" i="87"/>
  <c r="F4826" i="87"/>
  <c r="F7462" i="87"/>
  <c r="F1316" i="87"/>
  <c r="F7445" i="87"/>
  <c r="F267" i="87"/>
  <c r="F7403" i="87"/>
  <c r="F5274" i="87"/>
  <c r="F7562" i="87"/>
  <c r="F5934" i="87"/>
  <c r="F7498" i="87"/>
  <c r="F6097" i="87"/>
  <c r="F7857" i="87"/>
  <c r="E7857" i="87" s="1"/>
  <c r="F7081" i="87"/>
  <c r="F6974" i="87"/>
  <c r="F977" i="87"/>
  <c r="F6191" i="87"/>
  <c r="F6825" i="87"/>
  <c r="F5507" i="87"/>
  <c r="F7516" i="87"/>
  <c r="F5366" i="87"/>
  <c r="F6720" i="87"/>
  <c r="F6164" i="87"/>
  <c r="F946" i="87"/>
  <c r="F7458" i="87"/>
  <c r="F6955" i="87"/>
  <c r="F980" i="87"/>
  <c r="F7549" i="87"/>
  <c r="F6829" i="87"/>
  <c r="F6088" i="87"/>
  <c r="F6310" i="87"/>
  <c r="F730" i="87"/>
  <c r="F6949" i="87"/>
  <c r="F6371" i="87"/>
  <c r="F834" i="87"/>
  <c r="F7638" i="87"/>
  <c r="F6143" i="87"/>
  <c r="F6003" i="87"/>
  <c r="F5832" i="87"/>
  <c r="F3316" i="87"/>
  <c r="F6931" i="87"/>
  <c r="F5029" i="87"/>
  <c r="F4145" i="87"/>
  <c r="F7870" i="87"/>
  <c r="E7870" i="87" s="1"/>
  <c r="F3320" i="87"/>
  <c r="F6009" i="87"/>
  <c r="F7700" i="87"/>
  <c r="F5828" i="87"/>
  <c r="F7511" i="87"/>
  <c r="F1395" i="87"/>
  <c r="F5256" i="87"/>
  <c r="F7382" i="87"/>
  <c r="F4968" i="87"/>
  <c r="F6905" i="87"/>
  <c r="F6381" i="87"/>
  <c r="F5030" i="87"/>
  <c r="F3000" i="87"/>
  <c r="F6917" i="87"/>
  <c r="F3239" i="87"/>
  <c r="F6894" i="87"/>
  <c r="F6365" i="87"/>
  <c r="F6080" i="87"/>
  <c r="F6487" i="87"/>
  <c r="F7426" i="87"/>
  <c r="F6234" i="87"/>
  <c r="F7486" i="87"/>
  <c r="F687" i="87"/>
  <c r="F744" i="87"/>
  <c r="F734" i="87"/>
  <c r="F1204" i="87"/>
  <c r="F973" i="87"/>
  <c r="F4705" i="87"/>
  <c r="F6858" i="87"/>
  <c r="F1364" i="87"/>
  <c r="F5295" i="87"/>
  <c r="F7348" i="87"/>
  <c r="F6208" i="87"/>
  <c r="F4892" i="87"/>
  <c r="F3428" i="87"/>
  <c r="F7848" i="87"/>
  <c r="E7848" i="87" s="1"/>
  <c r="F3476" i="87"/>
  <c r="F6195" i="87"/>
  <c r="F4076" i="87"/>
  <c r="F7344" i="87"/>
  <c r="F110" i="87"/>
  <c r="F4739" i="87"/>
  <c r="F6676" i="87"/>
  <c r="F6789" i="87"/>
  <c r="F7125" i="87"/>
  <c r="F6324" i="87"/>
  <c r="F3642" i="87"/>
  <c r="F3310" i="87"/>
  <c r="F3204" i="87"/>
  <c r="F1307" i="87"/>
  <c r="F1386" i="87"/>
  <c r="F6037" i="87"/>
  <c r="F6267" i="87"/>
  <c r="F6762" i="87"/>
  <c r="F7521" i="87"/>
  <c r="F1370" i="87"/>
  <c r="F6136" i="87"/>
  <c r="F4335" i="87"/>
  <c r="F4958" i="87"/>
  <c r="F6141" i="87"/>
  <c r="F6819" i="87"/>
  <c r="F724" i="87"/>
  <c r="F6120" i="87"/>
  <c r="F3525" i="87"/>
  <c r="F2935" i="87"/>
  <c r="F6705" i="87"/>
  <c r="F7538" i="87"/>
  <c r="F7699" i="87"/>
  <c r="F7540" i="87"/>
  <c r="F5280" i="87"/>
  <c r="F6166" i="87"/>
  <c r="F6675" i="87"/>
  <c r="F1209" i="87"/>
  <c r="F4860" i="87"/>
  <c r="F4760" i="87"/>
  <c r="F6787" i="87"/>
  <c r="F6294" i="87"/>
  <c r="F5652" i="87"/>
  <c r="F7520" i="87"/>
  <c r="F7364" i="87"/>
  <c r="F7716" i="87"/>
  <c r="F7472" i="87"/>
  <c r="F5863" i="87"/>
  <c r="F2787" i="87"/>
  <c r="F7374" i="87"/>
  <c r="F3434" i="87"/>
  <c r="F2766" i="87"/>
  <c r="F7481" i="87"/>
  <c r="F7559" i="87"/>
  <c r="F5408" i="87"/>
  <c r="F7734" i="87"/>
  <c r="F6921" i="87"/>
  <c r="F6290" i="87"/>
  <c r="F6353" i="87"/>
  <c r="F908" i="87"/>
  <c r="F6113" i="87"/>
  <c r="F7865" i="87"/>
  <c r="E7865" i="87" s="1"/>
  <c r="F2940" i="87"/>
  <c r="F83" i="87"/>
  <c r="F5514" i="87"/>
  <c r="F5302" i="87"/>
  <c r="F1288" i="87"/>
  <c r="F6772" i="87"/>
  <c r="F4030" i="87"/>
  <c r="F7737" i="87"/>
  <c r="F1259" i="87"/>
  <c r="F6304" i="87"/>
  <c r="F7236" i="87"/>
  <c r="F6958" i="87"/>
  <c r="F4745" i="87"/>
  <c r="F7194" i="87"/>
  <c r="F6972" i="87"/>
  <c r="F6667" i="87"/>
  <c r="F778" i="87"/>
  <c r="F5027" i="87"/>
  <c r="F662" i="87"/>
  <c r="F6839" i="87"/>
  <c r="F7696" i="87"/>
  <c r="F840" i="87"/>
  <c r="F5140" i="87"/>
  <c r="F5008" i="87"/>
  <c r="F5024" i="87"/>
  <c r="F5037" i="87"/>
  <c r="F6745" i="87"/>
  <c r="F6619" i="87"/>
  <c r="F4829" i="87"/>
  <c r="F882" i="87"/>
  <c r="F7434" i="87"/>
  <c r="F7027" i="87"/>
  <c r="F6742" i="87"/>
  <c r="F919" i="87"/>
  <c r="F1254" i="87"/>
  <c r="F3314" i="87"/>
  <c r="F808" i="87"/>
  <c r="F1310" i="87"/>
  <c r="F6719" i="87"/>
  <c r="F7335" i="87"/>
  <c r="F888" i="87"/>
  <c r="F1165" i="87"/>
  <c r="F7623" i="87"/>
  <c r="F6279" i="87"/>
  <c r="F6637" i="87"/>
  <c r="F3578" i="87"/>
  <c r="F7571" i="87"/>
  <c r="F7731" i="87"/>
  <c r="F6725" i="87"/>
  <c r="F6747" i="87"/>
  <c r="F7487" i="87"/>
  <c r="F7874" i="87"/>
  <c r="E7874" i="87" s="1"/>
  <c r="F3606" i="87"/>
  <c r="F6897" i="87"/>
  <c r="F6978" i="87"/>
  <c r="F5068" i="87"/>
  <c r="F972" i="87"/>
  <c r="F6323" i="87"/>
  <c r="F6054" i="87"/>
  <c r="F5797" i="87"/>
  <c r="F7689" i="87"/>
  <c r="F1189" i="87"/>
  <c r="F5023" i="87"/>
  <c r="F3243" i="87"/>
  <c r="F952" i="87"/>
  <c r="F2898" i="87"/>
  <c r="F4862" i="87"/>
  <c r="F7464" i="87"/>
  <c r="F1372" i="87"/>
  <c r="F6694" i="87"/>
  <c r="F807" i="87"/>
  <c r="F967" i="87"/>
  <c r="F6017" i="87"/>
  <c r="F6238" i="87"/>
  <c r="F7036" i="87"/>
  <c r="F2897" i="87"/>
  <c r="F2662" i="87"/>
  <c r="F5004" i="87"/>
  <c r="F5509" i="87"/>
  <c r="F798" i="87"/>
  <c r="F6927" i="87"/>
  <c r="F7543" i="87"/>
  <c r="F4297" i="87"/>
  <c r="F6956" i="87"/>
  <c r="F5050" i="87"/>
  <c r="F7407" i="87"/>
  <c r="F6817" i="87"/>
  <c r="F7708" i="87"/>
  <c r="F6376" i="87"/>
  <c r="F5019" i="87"/>
  <c r="F6078" i="87"/>
  <c r="F5222" i="87"/>
  <c r="F3582" i="87"/>
  <c r="F7392" i="87"/>
  <c r="F916" i="87"/>
  <c r="F5544" i="87"/>
  <c r="F4300" i="87"/>
  <c r="F6950" i="87"/>
  <c r="F6030" i="87"/>
  <c r="F5933" i="87"/>
  <c r="F6081" i="87"/>
  <c r="F5067" i="87"/>
  <c r="F772" i="87"/>
  <c r="F6096" i="87"/>
  <c r="F6880" i="87"/>
  <c r="F7863" i="87"/>
  <c r="E7863" i="87" s="1"/>
  <c r="F6977" i="87"/>
  <c r="F6736" i="87"/>
  <c r="F669" i="87"/>
  <c r="F5314" i="87"/>
  <c r="F5636" i="87"/>
  <c r="F7142" i="87"/>
  <c r="F5698" i="87"/>
  <c r="F4255" i="87"/>
  <c r="F5293" i="87"/>
  <c r="F4077" i="87"/>
  <c r="F6692" i="87"/>
  <c r="F7214" i="87"/>
  <c r="F5045" i="87"/>
  <c r="F6744" i="87"/>
  <c r="F7123" i="87"/>
  <c r="F861" i="87"/>
  <c r="F4304" i="87"/>
  <c r="F7483" i="87"/>
  <c r="F32" i="87"/>
  <c r="F953" i="87"/>
  <c r="F898" i="87"/>
  <c r="F4298" i="87"/>
  <c r="F7862" i="87"/>
  <c r="E7862" i="87" s="1"/>
  <c r="F2744" i="87"/>
  <c r="F55" i="87"/>
  <c r="F7414" i="87"/>
  <c r="F108" i="87"/>
  <c r="F6823" i="87"/>
  <c r="F5289" i="87"/>
  <c r="F5504" i="87"/>
  <c r="F6735" i="87"/>
  <c r="F4750" i="87"/>
  <c r="F3217" i="87"/>
  <c r="F6672" i="87"/>
  <c r="F1184" i="87"/>
  <c r="F864" i="87"/>
  <c r="F897" i="87"/>
  <c r="F6167" i="87"/>
  <c r="F6271" i="87"/>
  <c r="F3318" i="87"/>
  <c r="F3105" i="87"/>
  <c r="F6105" i="87"/>
  <c r="F2741" i="87"/>
  <c r="F70" i="87"/>
  <c r="F6973" i="87"/>
  <c r="F6795" i="87"/>
  <c r="F6901" i="87"/>
  <c r="F4893" i="87"/>
  <c r="F6025" i="87"/>
  <c r="F6188" i="87"/>
  <c r="F5983" i="87"/>
  <c r="F1212" i="87"/>
  <c r="F7327" i="87"/>
  <c r="F6064" i="87"/>
  <c r="F5442" i="87"/>
  <c r="F5548" i="87"/>
  <c r="F6738" i="87"/>
  <c r="F1376" i="87"/>
  <c r="F6818" i="87"/>
  <c r="F4337" i="87"/>
  <c r="F6674" i="87"/>
  <c r="F6604" i="87"/>
  <c r="F6132" i="87"/>
  <c r="F811" i="87"/>
  <c r="F7715" i="87"/>
  <c r="F7001" i="87"/>
  <c r="F88" i="87"/>
  <c r="F7566" i="87"/>
  <c r="F956" i="87"/>
  <c r="F7614" i="87"/>
  <c r="F4362" i="87"/>
  <c r="F6724" i="87"/>
  <c r="F5052" i="87"/>
  <c r="F4172" i="87"/>
  <c r="F7259" i="87"/>
  <c r="F7429" i="87"/>
  <c r="F3260" i="87"/>
  <c r="F5693" i="87"/>
  <c r="F6039" i="87"/>
  <c r="F7666" i="87"/>
  <c r="F5510" i="87"/>
  <c r="F6763" i="87"/>
  <c r="F7263" i="87"/>
  <c r="F867" i="87"/>
  <c r="F7533" i="87"/>
  <c r="F6961" i="87"/>
  <c r="F790" i="87"/>
  <c r="F6832" i="87"/>
  <c r="F6026" i="87"/>
  <c r="F6377" i="87"/>
  <c r="F5174" i="87"/>
  <c r="F5829" i="87"/>
  <c r="F6695" i="87"/>
  <c r="F4360" i="87"/>
  <c r="F6954" i="87"/>
  <c r="F6777" i="87"/>
  <c r="F6249" i="87"/>
  <c r="F7361" i="87"/>
  <c r="F7630" i="87"/>
  <c r="F6368" i="87"/>
  <c r="F4061" i="87"/>
  <c r="F6834" i="87"/>
  <c r="F5938" i="87"/>
  <c r="F6865" i="87"/>
  <c r="F7707" i="87"/>
  <c r="F6023" i="87"/>
  <c r="F1490" i="87"/>
  <c r="F5125" i="87"/>
  <c r="F6838" i="87"/>
  <c r="F6153" i="87"/>
  <c r="F892" i="87"/>
  <c r="F3313" i="87"/>
  <c r="F837" i="87"/>
  <c r="F6231" i="87"/>
  <c r="F15" i="87"/>
  <c r="F1179" i="87"/>
  <c r="F7621" i="87"/>
  <c r="F7609" i="87"/>
  <c r="F6711" i="87"/>
  <c r="F6975" i="87"/>
  <c r="F6014" i="87"/>
  <c r="F7555" i="87"/>
  <c r="F7658" i="87"/>
  <c r="F7718" i="87"/>
  <c r="F6068" i="87"/>
  <c r="F7619" i="87"/>
  <c r="F6397" i="87"/>
  <c r="F6189" i="87"/>
  <c r="F6878" i="87"/>
  <c r="F143" i="87"/>
  <c r="F6010" i="87"/>
  <c r="F786" i="87"/>
  <c r="F7021" i="87"/>
  <c r="F917" i="87"/>
  <c r="F4124" i="87"/>
  <c r="F4966" i="87"/>
  <c r="F6844" i="87"/>
  <c r="F750" i="87"/>
  <c r="F6124" i="87"/>
  <c r="F5766" i="87"/>
  <c r="F2934" i="87"/>
  <c r="F5671" i="87"/>
  <c r="F3647" i="87"/>
  <c r="F6524" i="87"/>
  <c r="F7664" i="87"/>
  <c r="F6748" i="87"/>
  <c r="F5649" i="87"/>
  <c r="F4159" i="87"/>
  <c r="F5530" i="87"/>
  <c r="F6869" i="87"/>
  <c r="F1168" i="87"/>
  <c r="F975" i="87"/>
  <c r="F6749" i="87"/>
  <c r="F7325" i="87"/>
  <c r="F7518" i="87"/>
  <c r="F6689" i="87"/>
  <c r="F3474" i="87"/>
  <c r="F6261" i="87"/>
  <c r="F3531" i="87"/>
  <c r="F5743" i="87"/>
  <c r="F7747" i="87"/>
  <c r="F6622" i="87"/>
  <c r="F6805" i="87"/>
  <c r="F5062" i="87"/>
  <c r="F4277" i="87"/>
  <c r="F7441" i="87"/>
  <c r="F6049" i="87"/>
  <c r="F6104" i="87"/>
  <c r="F850" i="87"/>
  <c r="F6122" i="87"/>
  <c r="F3426" i="87"/>
  <c r="F269" i="87"/>
  <c r="F7514" i="87"/>
  <c r="F5935" i="87"/>
  <c r="F4957" i="87"/>
  <c r="F5820" i="87"/>
  <c r="F686" i="87"/>
  <c r="F4021" i="87"/>
  <c r="F5016" i="87"/>
  <c r="F6766" i="87"/>
  <c r="F7341" i="87"/>
  <c r="F1197" i="87"/>
  <c r="F6273" i="87"/>
  <c r="F6086" i="87"/>
  <c r="F4738" i="87"/>
  <c r="F6520" i="87"/>
  <c r="F2666" i="87"/>
  <c r="F7691" i="87"/>
  <c r="F6053" i="87"/>
  <c r="F7427" i="87"/>
  <c r="F7714" i="87"/>
  <c r="F6233" i="87"/>
  <c r="F6302" i="87"/>
  <c r="F7561" i="87"/>
  <c r="F3317" i="87"/>
  <c r="F4365" i="87"/>
  <c r="F6094" i="87"/>
  <c r="F3199" i="87"/>
  <c r="F7268" i="87"/>
  <c r="F895" i="87"/>
  <c r="F6038" i="87"/>
  <c r="F6212" i="87"/>
  <c r="F1589" i="87"/>
  <c r="F7029" i="87"/>
  <c r="F5654" i="87"/>
  <c r="F5641" i="87"/>
  <c r="F939" i="87"/>
  <c r="F7016" i="87"/>
  <c r="F93" i="87"/>
  <c r="F6874" i="87"/>
  <c r="F5261" i="87"/>
  <c r="F830" i="87"/>
  <c r="F3218" i="87"/>
  <c r="F5018" i="87"/>
  <c r="F6034" i="87"/>
  <c r="F874" i="87"/>
  <c r="F3261" i="87"/>
  <c r="F777" i="87"/>
  <c r="F5468" i="87"/>
  <c r="F3429" i="87"/>
  <c r="F707" i="87"/>
  <c r="F4812" i="87"/>
  <c r="F3029" i="87"/>
  <c r="F6843" i="87"/>
  <c r="F6389" i="87"/>
  <c r="F4026" i="87"/>
  <c r="F5819" i="87"/>
  <c r="F7507" i="87"/>
  <c r="F2716" i="87"/>
  <c r="F6791" i="87"/>
  <c r="F4746" i="87"/>
  <c r="F3312" i="87"/>
  <c r="F5559" i="87"/>
  <c r="F2899" i="87"/>
  <c r="F740" i="87"/>
  <c r="F5138" i="87"/>
  <c r="F6242" i="87"/>
  <c r="F6241" i="87"/>
  <c r="F3478" i="87"/>
  <c r="F6172" i="87"/>
  <c r="F6048" i="87"/>
  <c r="F7574" i="87"/>
  <c r="F5821" i="87"/>
  <c r="F5028" i="87"/>
  <c r="F5083" i="87"/>
  <c r="F6678" i="87"/>
  <c r="F6810" i="87"/>
  <c r="F957" i="87"/>
  <c r="F983" i="87"/>
  <c r="F7457" i="87"/>
  <c r="F6919" i="87"/>
  <c r="F6633" i="87"/>
  <c r="F7606" i="87"/>
  <c r="F7450" i="87"/>
  <c r="F6882" i="87"/>
  <c r="F2923" i="87"/>
  <c r="F1355" i="87"/>
  <c r="F7573" i="87"/>
  <c r="F6948" i="87"/>
  <c r="F4715" i="87"/>
  <c r="F4278" i="87"/>
  <c r="F988" i="87"/>
  <c r="F5376" i="87"/>
  <c r="F5929" i="87"/>
  <c r="F5281" i="87"/>
  <c r="F7503" i="87"/>
  <c r="F6085" i="87"/>
  <c r="F6798" i="87"/>
  <c r="F732" i="87"/>
  <c r="F7717" i="87"/>
  <c r="F5275" i="87"/>
  <c r="F676" i="87"/>
  <c r="F6243" i="87"/>
  <c r="F7617" i="87"/>
  <c r="F6800" i="87"/>
  <c r="F6044" i="87"/>
  <c r="F5709" i="87"/>
  <c r="F6778" i="87"/>
  <c r="F5930" i="87"/>
  <c r="F5937" i="87"/>
  <c r="F783" i="87"/>
  <c r="F6485" i="87"/>
  <c r="F4027" i="87"/>
  <c r="F5186" i="87"/>
  <c r="F376" i="87"/>
  <c r="F5985" i="87"/>
  <c r="F7496" i="87"/>
  <c r="F7553" i="87"/>
  <c r="F20" i="87"/>
  <c r="F2939" i="87"/>
  <c r="F3203" i="87"/>
  <c r="F7868" i="87"/>
  <c r="E7868" i="87" s="1"/>
  <c r="F7686" i="87"/>
  <c r="F992" i="87"/>
  <c r="F3333" i="87"/>
  <c r="F6462" i="87"/>
  <c r="F5502" i="87"/>
  <c r="F5187" i="87"/>
  <c r="F4392" i="87"/>
  <c r="F6341" i="87"/>
  <c r="F6872" i="87"/>
  <c r="F6765" i="87"/>
  <c r="F5553" i="87"/>
  <c r="F4025" i="87"/>
  <c r="F1391" i="87"/>
  <c r="F869" i="87"/>
  <c r="F974" i="87"/>
  <c r="F3597" i="87"/>
  <c r="F1603" i="87"/>
  <c r="F1195" i="87"/>
  <c r="F7560" i="87"/>
  <c r="F5561" i="87"/>
  <c r="F5734" i="87"/>
  <c r="F7542" i="87"/>
  <c r="F6106" i="87"/>
  <c r="F5550" i="87"/>
  <c r="F7475" i="87"/>
  <c r="F7345" i="87"/>
  <c r="F6486" i="87"/>
  <c r="F964" i="87"/>
  <c r="F3198" i="87"/>
  <c r="F7400" i="87"/>
  <c r="F7495" i="87"/>
  <c r="F5014" i="87"/>
  <c r="F4260" i="87"/>
  <c r="F2771" i="87"/>
  <c r="F1475" i="87"/>
  <c r="F799" i="87"/>
  <c r="F5406" i="87"/>
  <c r="F2894" i="87"/>
  <c r="F5297" i="87"/>
  <c r="F5866" i="87"/>
  <c r="F5826" i="87"/>
  <c r="F63" i="87"/>
  <c r="F6606" i="87"/>
  <c r="F1631" i="87"/>
  <c r="F1481" i="87"/>
  <c r="F7670" i="87"/>
  <c r="F6960" i="87"/>
  <c r="F6933" i="87"/>
  <c r="F7376" i="87"/>
  <c r="F6174" i="87"/>
  <c r="F2893" i="87"/>
  <c r="F5305" i="87"/>
  <c r="F803" i="87"/>
  <c r="F2903" i="87"/>
  <c r="F4276" i="87"/>
  <c r="F6976" i="87"/>
  <c r="F1366" i="87"/>
  <c r="F5533" i="87"/>
  <c r="F7437" i="87"/>
  <c r="K6" i="30"/>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98" i="87" a="1"/>
  <c r="F6610" i="87" a="1"/>
  <c r="F6574" i="87" a="1"/>
  <c r="F6576"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39" i="87" a="1"/>
  <c r="F7266" i="87" a="1"/>
  <c r="F7221" i="87" a="1"/>
  <c r="F7293" i="87" a="1"/>
  <c r="F7257" i="87" a="1"/>
  <c r="F7230" i="87" a="1"/>
  <c r="F7248" i="87" a="1"/>
  <c r="F7284" i="87" a="1"/>
  <c r="F7275" i="87" a="1"/>
  <c r="F7248" i="87" l="1"/>
  <c r="F7221" i="87"/>
  <c r="F7230" i="87"/>
  <c r="E7230" i="87" s="1"/>
  <c r="F7257" i="87"/>
  <c r="E7257" i="87" s="1"/>
  <c r="F7293" i="87"/>
  <c r="E7293" i="87" s="1"/>
  <c r="F7239" i="87"/>
  <c r="F7266" i="87"/>
  <c r="F7275" i="87"/>
  <c r="E7275" i="87" s="1"/>
  <c r="F7284" i="87"/>
  <c r="E7284" i="87" s="1"/>
  <c r="B7248" i="87"/>
  <c r="C7248" i="87" s="1"/>
  <c r="B7221" i="87"/>
  <c r="C7221" i="87" s="1"/>
  <c r="B7230" i="87"/>
  <c r="C7230" i="87" s="1"/>
  <c r="B7257" i="87"/>
  <c r="B7293" i="87"/>
  <c r="B7239" i="87"/>
  <c r="B7266" i="87"/>
  <c r="B7275" i="87"/>
  <c r="B7284" i="87"/>
  <c r="C7284" i="87"/>
  <c r="C7239" i="87"/>
  <c r="E7239" i="87"/>
  <c r="C7257" i="87"/>
  <c r="C7275" i="87"/>
  <c r="C7293" i="87"/>
  <c r="B7012" i="87"/>
  <c r="B7010" i="87"/>
  <c r="E7266" i="87" l="1"/>
  <c r="C7266" i="87"/>
  <c r="E7248" i="87"/>
  <c r="E7221"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045" i="87" a="1"/>
  <c r="F7307" i="87" a="1"/>
  <c r="F5046" i="87" a="1"/>
  <c r="F7045" i="87" l="1"/>
  <c r="B7045" i="87"/>
  <c r="F5046" i="87"/>
  <c r="C84" i="14"/>
  <c r="F7307" i="87"/>
  <c r="B7307" i="87"/>
  <c r="C7307" i="87" s="1"/>
  <c r="C7045" i="87"/>
  <c r="K91" i="73"/>
  <c r="J91" i="73"/>
  <c r="I91" i="73"/>
  <c r="H91" i="73"/>
  <c r="G91" i="73"/>
  <c r="F91" i="73"/>
  <c r="E91" i="73"/>
  <c r="D91" i="73"/>
  <c r="C85" i="73"/>
  <c r="B7040" i="87" s="1"/>
  <c r="F7067" i="87" a="1"/>
  <c r="F7088" i="87" a="1"/>
  <c r="F7167" i="87" a="1"/>
  <c r="F7303" i="87" a="1"/>
  <c r="F7127" i="87" a="1"/>
  <c r="F7197" i="87" a="1"/>
  <c r="F7178" i="87" a="1"/>
  <c r="F7106" i="87" a="1"/>
  <c r="F7149" i="87" a="1"/>
  <c r="E7045" i="87" l="1"/>
  <c r="F7149" i="87"/>
  <c r="E7149" i="87" s="1"/>
  <c r="B7149" i="87"/>
  <c r="F7197" i="87"/>
  <c r="B7197" i="87"/>
  <c r="F7178" i="87"/>
  <c r="E7178" i="87" s="1"/>
  <c r="B7178" i="87"/>
  <c r="F7167" i="87"/>
  <c r="E7167" i="87" s="1"/>
  <c r="B7167" i="87"/>
  <c r="F7127" i="87"/>
  <c r="E7127" i="87" s="1"/>
  <c r="B7127" i="87"/>
  <c r="F7106" i="87"/>
  <c r="B7106" i="87"/>
  <c r="F7088" i="87"/>
  <c r="E7088" i="87" s="1"/>
  <c r="B7088" i="87"/>
  <c r="F7067" i="87"/>
  <c r="E7067" i="87" s="1"/>
  <c r="B7067" i="87"/>
  <c r="F7303" i="87"/>
  <c r="B7303" i="87"/>
  <c r="C7303" i="87" s="1"/>
  <c r="E7307" i="87"/>
  <c r="C7067" i="87"/>
  <c r="C7106" i="87"/>
  <c r="C7149" i="87"/>
  <c r="C7178" i="87"/>
  <c r="C7040" i="87"/>
  <c r="E7040" i="87"/>
  <c r="C7088" i="87"/>
  <c r="C7127" i="87"/>
  <c r="C7167" i="87"/>
  <c r="C7197" i="87"/>
  <c r="E7197" i="87"/>
  <c r="H35" i="30"/>
  <c r="H34" i="30"/>
  <c r="J35" i="30"/>
  <c r="I35" i="30"/>
  <c r="G35" i="30"/>
  <c r="F35" i="30"/>
  <c r="E35" i="30"/>
  <c r="D35" i="30"/>
  <c r="F7312" i="87" a="1"/>
  <c r="F7313" i="87" a="1"/>
  <c r="F7308" i="87" a="1"/>
  <c r="F7309" i="87" a="1"/>
  <c r="F954" i="87" a="1"/>
  <c r="F7310" i="87" a="1"/>
  <c r="F7311" i="87" a="1"/>
  <c r="F7842" i="87" a="1"/>
  <c r="E7106" i="87" l="1"/>
  <c r="E7303" i="87"/>
  <c r="F7308" i="87"/>
  <c r="F954" i="87"/>
  <c r="F7310" i="87"/>
  <c r="F7313" i="87"/>
  <c r="F7309" i="87"/>
  <c r="F7311" i="87"/>
  <c r="F7842" i="87"/>
  <c r="F7312" i="87"/>
  <c r="B7308" i="87"/>
  <c r="C7308" i="87" s="1"/>
  <c r="B7310" i="87"/>
  <c r="C7310" i="87" s="1"/>
  <c r="B7313" i="87"/>
  <c r="B7309" i="87"/>
  <c r="C7309" i="87" s="1"/>
  <c r="B7311" i="87"/>
  <c r="B7842" i="87"/>
  <c r="B7312" i="87"/>
  <c r="C7312" i="87" s="1"/>
  <c r="C7313" i="87"/>
  <c r="C7311" i="87"/>
  <c r="C784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B7217" i="87" s="1"/>
  <c r="I34" i="30"/>
  <c r="J34" i="30"/>
  <c r="K33" i="30"/>
  <c r="D34" i="30"/>
  <c r="E34" i="30"/>
  <c r="F34" i="30"/>
  <c r="G34" i="30"/>
  <c r="F7011" i="87" a="1"/>
  <c r="F7761" i="87" a="1"/>
  <c r="F7394" i="87" a="1"/>
  <c r="F158" i="87" a="1"/>
  <c r="F7404" i="87" a="1"/>
  <c r="F7762" i="87" a="1"/>
  <c r="F7795" i="87" a="1"/>
  <c r="F7793" i="87" a="1"/>
  <c r="F6587" i="87" a="1"/>
  <c r="F7306" i="87" a="1"/>
  <c r="F7833" i="87" a="1"/>
  <c r="F7756" i="87" a="1"/>
  <c r="F7768" i="87" a="1"/>
  <c r="F7369" i="87" a="1"/>
  <c r="F7764" i="87" a="1"/>
  <c r="F7759" i="87" a="1"/>
  <c r="F3615" i="87" a="1"/>
  <c r="F3591" i="87" a="1"/>
  <c r="F7339" i="87" a="1"/>
  <c r="F7719" i="87" a="1"/>
  <c r="F7743" i="87" a="1"/>
  <c r="F6566" i="87" a="1"/>
  <c r="F7688" i="87" a="1"/>
  <c r="F3598" i="87" a="1"/>
  <c r="F7779" i="87" a="1"/>
  <c r="F7500" i="87" a="1"/>
  <c r="F7840" i="87" a="1"/>
  <c r="F7772" i="87" a="1"/>
  <c r="F3570" i="87" a="1"/>
  <c r="F7682" i="87" a="1"/>
  <c r="F7799" i="87" a="1"/>
  <c r="F7770" i="87" a="1"/>
  <c r="F7647" i="87" a="1"/>
  <c r="F7834" i="87" a="1"/>
  <c r="F7363" i="87" a="1"/>
  <c r="F7776" i="87" a="1"/>
  <c r="F7797" i="87" a="1"/>
  <c r="F7769" i="87" a="1"/>
  <c r="F838" i="87" a="1"/>
  <c r="F3612" i="87" a="1"/>
  <c r="F7783" i="87" a="1"/>
  <c r="F7777" i="87" a="1"/>
  <c r="F7678" i="87" a="1"/>
  <c r="F6270" i="87" a="1"/>
  <c r="F7766" i="87" a="1"/>
  <c r="F7517" i="87" a="1"/>
  <c r="F7824" i="87" a="1"/>
  <c r="F7730" i="87" a="1"/>
  <c r="F6594" i="87" a="1"/>
  <c r="F7618" i="87" a="1"/>
  <c r="F7809" i="87" a="1"/>
  <c r="F7019" i="87" a="1"/>
  <c r="F7736" i="87" a="1"/>
  <c r="F7763" i="87" a="1"/>
  <c r="F7808" i="87" a="1"/>
  <c r="F7836" i="87" a="1"/>
  <c r="F7775" i="87" a="1"/>
  <c r="F6491" i="87" a="1"/>
  <c r="F7493" i="87" a="1"/>
  <c r="F7829" i="87" a="1"/>
  <c r="F7828" i="87" a="1"/>
  <c r="F7570" i="87" a="1"/>
  <c r="F7787" i="87" a="1"/>
  <c r="F6527" i="87" a="1"/>
  <c r="F7807" i="87" a="1"/>
  <c r="F7551" i="87" a="1"/>
  <c r="F7625" i="87" a="1"/>
  <c r="F6565" i="87" a="1"/>
  <c r="F7816" i="87" a="1"/>
  <c r="F3613" i="87" a="1"/>
  <c r="F780" i="87" a="1"/>
  <c r="F7755" i="87" a="1"/>
  <c r="F6269" i="87" a="1"/>
  <c r="F7814" i="87" a="1"/>
  <c r="F7612" i="87" a="1"/>
  <c r="F7695" i="87" a="1"/>
  <c r="F7436" i="87" a="1"/>
  <c r="F7785" i="87" a="1"/>
  <c r="F7758" i="87" a="1"/>
  <c r="F7504" i="87" a="1"/>
  <c r="F7821" i="87" a="1"/>
  <c r="F7476" i="87" a="1"/>
  <c r="F7447" i="87" a="1"/>
  <c r="F7796" i="87" a="1"/>
  <c r="F7767" i="87" a="1"/>
  <c r="F7510" i="87" a="1"/>
  <c r="F7466" i="87" a="1"/>
  <c r="F7014" i="87" a="1"/>
  <c r="F7701" i="87" a="1"/>
  <c r="F6916" i="87" a="1"/>
  <c r="F7523" i="87" a="1"/>
  <c r="F7825" i="87" a="1"/>
  <c r="F7773" i="87" a="1"/>
  <c r="F7812" i="87" a="1"/>
  <c r="F3619" i="87" a="1"/>
  <c r="F7548" i="87" a="1"/>
  <c r="F896" i="87" a="1"/>
  <c r="F7782" i="87" a="1"/>
  <c r="F7790" i="87" a="1"/>
  <c r="F7760" i="87" a="1"/>
  <c r="F6668" i="87" a="1"/>
  <c r="F7791" i="87" a="1"/>
  <c r="F7794" i="87" a="1"/>
  <c r="F7460" i="87" a="1"/>
  <c r="F3584" i="87" a="1"/>
  <c r="F7832" i="87" a="1"/>
  <c r="F7818" i="87" a="1"/>
  <c r="F7557" i="87" a="1"/>
  <c r="F7387" i="87" a="1"/>
  <c r="F7346" i="87" a="1"/>
  <c r="F6568" i="87" a="1"/>
  <c r="F7831" i="87" a="1"/>
  <c r="F6567" i="87" a="1"/>
  <c r="F7411" i="87" a="1"/>
  <c r="F7800" i="87" a="1"/>
  <c r="F7778" i="87" a="1"/>
  <c r="F7608" i="87" a="1"/>
  <c r="F7726" i="87" a="1"/>
  <c r="F7754" i="87" a="1"/>
  <c r="F6570" i="87" a="1"/>
  <c r="F7564" i="87" a="1"/>
  <c r="F7356" i="87" a="1"/>
  <c r="F7765" i="87" a="1"/>
  <c r="F3563" i="87" a="1"/>
  <c r="F7350" i="87" a="1"/>
  <c r="F7631" i="87" a="1"/>
  <c r="F7474" i="87" a="1"/>
  <c r="F3617" i="87" a="1"/>
  <c r="F7823" i="87" a="1"/>
  <c r="F6564" i="87" a="1"/>
  <c r="F7749" i="87" a="1"/>
  <c r="F3607" i="87" a="1"/>
  <c r="F7757" i="87" a="1"/>
  <c r="F7453" i="87" a="1"/>
  <c r="F7417" i="87" a="1"/>
  <c r="F7774" i="87" a="1"/>
  <c r="F7671" i="87" a="1"/>
  <c r="F7013" i="87" a="1"/>
  <c r="F722" i="87" a="1"/>
  <c r="F6569" i="87" a="1"/>
  <c r="F7817" i="87" a="1"/>
  <c r="F7443" i="87" a="1"/>
  <c r="F7826" i="87" a="1"/>
  <c r="F7802" i="87" a="1"/>
  <c r="F7822" i="87" a="1"/>
  <c r="F6665" i="87" a="1"/>
  <c r="F7801" i="87" a="1"/>
  <c r="F7806" i="87" a="1"/>
  <c r="F7830" i="87" a="1"/>
  <c r="F7803" i="87" a="1"/>
  <c r="F7804" i="87" a="1"/>
  <c r="F7815" i="87" a="1"/>
  <c r="F7753" i="87" a="1"/>
  <c r="F7810" i="87" a="1"/>
  <c r="F7820" i="87" a="1"/>
  <c r="F7784" i="87" a="1"/>
  <c r="F7786" i="87" a="1"/>
  <c r="F7541" i="87" a="1"/>
  <c r="F7789" i="87" a="1"/>
  <c r="F7655" i="87" a="1"/>
  <c r="F7017" i="87" a="1"/>
  <c r="F7398" i="87" a="1"/>
  <c r="F7771" i="87" a="1"/>
  <c r="F7780" i="87" a="1"/>
  <c r="F7601" i="87" a="1"/>
  <c r="F3577" i="87" a="1"/>
  <c r="E7314" i="87" l="1"/>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E7726" i="87" s="1"/>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E7815" i="87" s="1"/>
  <c r="F7817" i="87"/>
  <c r="F7474" i="87"/>
  <c r="F7820" i="87"/>
  <c r="F7822" i="87"/>
  <c r="E7822" i="87" s="1"/>
  <c r="F7824" i="87"/>
  <c r="F7826" i="87"/>
  <c r="F7828" i="87"/>
  <c r="F7830" i="87"/>
  <c r="E7830" i="87" s="1"/>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E7801" i="87" s="1"/>
  <c r="F7803" i="87"/>
  <c r="F7363" i="87"/>
  <c r="F7460" i="87"/>
  <c r="F7564" i="87"/>
  <c r="E7564" i="87" s="1"/>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B7822" i="87"/>
  <c r="B7824" i="87"/>
  <c r="C7824" i="87" s="1"/>
  <c r="B7828" i="87"/>
  <c r="B7830" i="87"/>
  <c r="C7830" i="87" s="1"/>
  <c r="B7832" i="87"/>
  <c r="B7655" i="87"/>
  <c r="D438" i="30"/>
  <c r="B7755" i="87"/>
  <c r="C7755" i="87" s="1"/>
  <c r="B7757" i="87"/>
  <c r="B7759" i="87"/>
  <c r="B7761" i="87"/>
  <c r="B7763" i="87"/>
  <c r="C7763" i="87" s="1"/>
  <c r="B7765" i="87"/>
  <c r="B7767" i="87"/>
  <c r="B7769" i="87"/>
  <c r="B7771" i="87"/>
  <c r="C7771" i="87" s="1"/>
  <c r="B7773" i="87"/>
  <c r="B7775" i="87"/>
  <c r="B7777" i="87"/>
  <c r="B7779" i="87"/>
  <c r="C7779" i="87" s="1"/>
  <c r="B7339" i="87"/>
  <c r="B7541" i="87"/>
  <c r="B7671" i="87"/>
  <c r="B7782" i="87"/>
  <c r="C7782" i="87" s="1"/>
  <c r="B7784" i="87"/>
  <c r="B7786" i="87"/>
  <c r="B7346" i="87"/>
  <c r="B7443" i="87"/>
  <c r="C7443" i="87" s="1"/>
  <c r="B7548" i="87"/>
  <c r="C7548" i="87" s="1"/>
  <c r="B7678" i="87"/>
  <c r="B7789" i="87"/>
  <c r="B7791" i="87"/>
  <c r="C7791" i="87" s="1"/>
  <c r="B7398" i="87"/>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B7749" i="87"/>
  <c r="B7013" i="87"/>
  <c r="C7013" i="87" s="1"/>
  <c r="B7816" i="87"/>
  <c r="B7821" i="87"/>
  <c r="B7823" i="87"/>
  <c r="B7825" i="87"/>
  <c r="C7825" i="87" s="1"/>
  <c r="B7647" i="87"/>
  <c r="C7647" i="87" s="1"/>
  <c r="B7829" i="87"/>
  <c r="B7831" i="87"/>
  <c r="B7833" i="87"/>
  <c r="C7833" i="87" s="1"/>
  <c r="B7476" i="87"/>
  <c r="B7836" i="87"/>
  <c r="C7217" i="87"/>
  <c r="E7217" i="87"/>
  <c r="C7756" i="87"/>
  <c r="C7760" i="87"/>
  <c r="C7764" i="87"/>
  <c r="C7768" i="87"/>
  <c r="C7772" i="87"/>
  <c r="C7776" i="87"/>
  <c r="C7780" i="87"/>
  <c r="C7493" i="87"/>
  <c r="C7783" i="87"/>
  <c r="C7785" i="87"/>
  <c r="C7394" i="87"/>
  <c r="C7500" i="87"/>
  <c r="C7608" i="87"/>
  <c r="C7790" i="87"/>
  <c r="C7350" i="87"/>
  <c r="C7447" i="87"/>
  <c r="C7682" i="87"/>
  <c r="C7793" i="87"/>
  <c r="C7404" i="87"/>
  <c r="C7618" i="87"/>
  <c r="C7800" i="87"/>
  <c r="C7411" i="87"/>
  <c r="C7625" i="87"/>
  <c r="C7807" i="87"/>
  <c r="C7369" i="87"/>
  <c r="C7570" i="87"/>
  <c r="C7011" i="87"/>
  <c r="C7817" i="87"/>
  <c r="C7820" i="87"/>
  <c r="C7822" i="87"/>
  <c r="C7828" i="87"/>
  <c r="C7832" i="87"/>
  <c r="C7655" i="87"/>
  <c r="C7757" i="87"/>
  <c r="C7759" i="87"/>
  <c r="C7761" i="87"/>
  <c r="C7765" i="87"/>
  <c r="C7767" i="87"/>
  <c r="C7769" i="87"/>
  <c r="C7773" i="87"/>
  <c r="C7775" i="87"/>
  <c r="C7777" i="87"/>
  <c r="C7339" i="87"/>
  <c r="C7541" i="87"/>
  <c r="C7671" i="87"/>
  <c r="C7784" i="87"/>
  <c r="C7786" i="87"/>
  <c r="C7346" i="87"/>
  <c r="C7678" i="87"/>
  <c r="C7789" i="87"/>
  <c r="C7398" i="87"/>
  <c r="C7504" i="87"/>
  <c r="C7612" i="87"/>
  <c r="C7796" i="87"/>
  <c r="C7453" i="87"/>
  <c r="C7803" i="87"/>
  <c r="C7363" i="87"/>
  <c r="C7460" i="87"/>
  <c r="C7695" i="87"/>
  <c r="C7808" i="87"/>
  <c r="C7810" i="87"/>
  <c r="C7523" i="87"/>
  <c r="C7631" i="87"/>
  <c r="C7749" i="87"/>
  <c r="C7816" i="87"/>
  <c r="C7821" i="87"/>
  <c r="C7823" i="87"/>
  <c r="C7829" i="87"/>
  <c r="C7831" i="87"/>
  <c r="C7476" i="87"/>
  <c r="C783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478" i="87" a="1"/>
  <c r="F7525" i="87" a="1"/>
  <c r="F7015" i="87" a="1"/>
  <c r="F7419" i="87" a="1"/>
  <c r="F6666" i="87" a="1"/>
  <c r="F3614" i="87" a="1"/>
  <c r="F7633" i="87" a="1"/>
  <c r="F3593" i="87" a="1"/>
  <c r="F7041" i="87" a="1"/>
  <c r="F3602" i="87" a="1"/>
  <c r="F7042" i="87" a="1"/>
  <c r="F3600" i="87" a="1"/>
  <c r="F7371" i="87" a="1"/>
  <c r="F7038" i="87" a="1"/>
  <c r="F7468" i="87" a="1"/>
  <c r="F6572" i="87" a="1"/>
  <c r="F7835" i="87" a="1"/>
  <c r="F3565" i="87" a="1"/>
  <c r="F7218" i="87" a="1"/>
  <c r="F7792" i="87" a="1"/>
  <c r="F3586" i="87" a="1"/>
  <c r="F7703" i="87" a="1"/>
  <c r="F7751" i="87" a="1"/>
  <c r="F7811" i="87" a="1"/>
  <c r="F7805" i="87" a="1"/>
  <c r="F3618" i="87" a="1"/>
  <c r="F7781" i="87" a="1"/>
  <c r="F7798" i="87" a="1"/>
  <c r="F3572" i="87" a="1"/>
  <c r="F7827" i="87" a="1"/>
  <c r="F6591" i="87" a="1"/>
  <c r="F7572" i="87" a="1"/>
  <c r="F3579" i="87" a="1"/>
  <c r="F7788" i="87" a="1"/>
  <c r="F7218" i="87" l="1"/>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B7371" i="87"/>
  <c r="C7371" i="87" s="1"/>
  <c r="B7572" i="87"/>
  <c r="B7478" i="87"/>
  <c r="C7478" i="87" s="1"/>
  <c r="D453" i="30"/>
  <c r="C453" i="30"/>
  <c r="G453" i="30"/>
  <c r="F453" i="30"/>
  <c r="B7798" i="87"/>
  <c r="B7468" i="87"/>
  <c r="C7468" i="87" s="1"/>
  <c r="K438" i="30"/>
  <c r="E453" i="30"/>
  <c r="I453" i="30"/>
  <c r="F7042" i="87"/>
  <c r="F7038" i="87"/>
  <c r="E7038" i="87" s="1"/>
  <c r="F7041" i="87"/>
  <c r="B7038" i="87"/>
  <c r="C7038" i="87" s="1"/>
  <c r="B7041" i="87"/>
  <c r="C7041" i="87" s="1"/>
  <c r="C7798" i="87"/>
  <c r="C7792" i="87"/>
  <c r="C7014" i="87"/>
  <c r="E7014" i="87"/>
  <c r="C7474" i="87"/>
  <c r="E7474" i="87"/>
  <c r="C7787" i="87"/>
  <c r="E7787" i="87"/>
  <c r="C7818" i="87"/>
  <c r="E7818" i="87"/>
  <c r="C7834" i="87"/>
  <c r="E7834" i="87"/>
  <c r="C7751" i="87"/>
  <c r="C7805" i="87"/>
  <c r="C7419" i="87"/>
  <c r="C7572" i="87"/>
  <c r="C7218" i="87"/>
  <c r="E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7037" i="87" a="1"/>
  <c r="F3587" i="87" a="1"/>
  <c r="F6581" i="87" a="1"/>
  <c r="F6577" i="87" a="1"/>
  <c r="F3580" i="87" a="1"/>
  <c r="F3620" i="87" a="1"/>
  <c r="F6579" i="87" a="1"/>
  <c r="F6613" i="87" a="1"/>
  <c r="F3604" i="87" a="1"/>
  <c r="F7051" i="87" a="1"/>
  <c r="F3616" i="87" a="1"/>
  <c r="F7060" i="87" a="1"/>
  <c r="F6614" i="87" a="1"/>
  <c r="F6580" i="87" a="1"/>
  <c r="F3573" i="87" a="1"/>
  <c r="F6595" i="87" a="1"/>
  <c r="F7219" i="87" a="1"/>
  <c r="F3566" i="87" a="1"/>
  <c r="F7043" i="87" a="1"/>
  <c r="F3594" i="87" a="1"/>
  <c r="F6578" i="87" a="1"/>
  <c r="F7813" i="87" a="1"/>
  <c r="F7187" i="87" a="1"/>
  <c r="F7841" i="87" a="1"/>
  <c r="F7051" i="87" l="1"/>
  <c r="F7060" i="87"/>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C7043" i="87" s="1"/>
  <c r="B7219" i="87"/>
  <c r="B7187" i="87"/>
  <c r="C7187" i="87" s="1"/>
  <c r="C7160" i="87"/>
  <c r="E7160" i="87"/>
  <c r="C7112" i="87"/>
  <c r="E7112" i="87"/>
  <c r="C7042" i="87"/>
  <c r="E7042" i="87"/>
  <c r="C7219"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3622" i="87" a="1"/>
  <c r="F6615" i="87" a="1"/>
  <c r="F7185" i="87" a="1"/>
  <c r="F5982" i="87" a="1"/>
  <c r="F7044" i="87" a="1"/>
  <c r="F7020" i="87" a="1"/>
  <c r="F7220" i="87" a="1"/>
  <c r="E7060" i="87" l="1"/>
  <c r="E7051" i="87"/>
  <c r="E6581" i="87"/>
  <c r="E6580"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6998" i="87" a="1"/>
  <c r="F4146" i="87" a="1"/>
  <c r="F7006" i="87" a="1"/>
  <c r="F7009" i="87" a="1"/>
  <c r="F2035" i="87" a="1"/>
  <c r="F7002" i="87" a="1"/>
  <c r="F4110" i="87" a="1"/>
  <c r="F3667" i="87" a="1"/>
  <c r="F6994" i="87" a="1"/>
  <c r="F6996" i="87" a="1"/>
  <c r="F6996" i="87" l="1"/>
  <c r="E6996" i="87" s="1"/>
  <c r="F3667" i="87"/>
  <c r="F7009" i="87"/>
  <c r="F6994" i="87"/>
  <c r="F6998" i="87"/>
  <c r="F7006" i="87"/>
  <c r="E7006" i="87" s="1"/>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3668" i="87" a="1"/>
  <c r="F3666" i="87" a="1"/>
  <c r="F7004" i="87" a="1"/>
  <c r="F4147" i="87" a="1"/>
  <c r="E6994" i="87" l="1"/>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B5031" i="87" s="1"/>
  <c r="F63" i="14"/>
  <c r="B5523" i="87" s="1"/>
  <c r="C67" i="14"/>
  <c r="D67" i="14"/>
  <c r="E67" i="14"/>
  <c r="B5465" i="87" s="1"/>
  <c r="F67" i="14"/>
  <c r="G67" i="14"/>
  <c r="H67" i="14"/>
  <c r="B5825" i="87" s="1"/>
  <c r="I67" i="14"/>
  <c r="J67" i="14"/>
  <c r="B6085" i="87" s="1"/>
  <c r="K67" i="14"/>
  <c r="B5939" i="87" s="1"/>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1371" i="87" a="1"/>
  <c r="F154" i="87" a="1"/>
  <c r="F5943" i="87" a="1"/>
  <c r="F1321" i="87" a="1"/>
  <c r="F1485" i="87" a="1"/>
  <c r="F907" i="87" a="1"/>
  <c r="F5056" i="87" a="1"/>
  <c r="F4894" i="87" a="1"/>
  <c r="F6358" i="87" a="1"/>
  <c r="F2917" i="87" a="1"/>
  <c r="F5950" i="87" a="1"/>
  <c r="F1441" i="87" a="1"/>
  <c r="F1289" i="87" a="1"/>
  <c r="F6130" i="87" a="1"/>
  <c r="F1220" i="87" a="1"/>
  <c r="F1436" i="87" a="1"/>
  <c r="F5674" i="87" a="1"/>
  <c r="F6250" i="87" a="1"/>
  <c r="F1079" i="87" a="1"/>
  <c r="F5685" i="87" a="1"/>
  <c r="F5960" i="87" a="1"/>
  <c r="F1328" i="87" a="1"/>
  <c r="F5169" i="87" a="1"/>
  <c r="F5470" i="87" a="1"/>
  <c r="F1479" i="87" a="1"/>
  <c r="F1044" i="87" a="1"/>
  <c r="F5414" i="87" a="1"/>
  <c r="F5526" i="87" a="1"/>
  <c r="F2739" i="87" a="1"/>
  <c r="F6480" i="87" a="1"/>
  <c r="F1442" i="87" a="1"/>
  <c r="F1502" i="87" a="1"/>
  <c r="F4356" i="87" a="1"/>
  <c r="F1058" i="87" a="1"/>
  <c r="F1420" i="87" a="1"/>
  <c r="F1074" i="87" a="1"/>
  <c r="F6342" i="87" a="1"/>
  <c r="F6413" i="87" a="1"/>
  <c r="F6331" i="87" a="1"/>
  <c r="F1057" i="87" a="1"/>
  <c r="F6072" i="87" a="1"/>
  <c r="F152" i="87" a="1"/>
  <c r="F6638" i="87" a="1"/>
  <c r="F1438" i="87" a="1"/>
  <c r="F2932" i="87" a="1"/>
  <c r="F1274" i="87" a="1"/>
  <c r="F1414" i="87" a="1"/>
  <c r="F2783" i="87" a="1"/>
  <c r="F1070" i="87" a="1"/>
  <c r="F1354" i="87" a="1"/>
  <c r="F1410" i="87" a="1"/>
  <c r="F1086" i="87" a="1"/>
  <c r="F805" i="87" a="1"/>
  <c r="F6383" i="87" a="1"/>
  <c r="F2049" i="87" a="1"/>
  <c r="F6284" i="87" a="1"/>
  <c r="F1073" i="87" a="1"/>
  <c r="F2956" i="87" a="1"/>
  <c r="F5681" i="87" a="1"/>
  <c r="F903" i="87" a="1"/>
  <c r="F1048" i="87" a="1"/>
  <c r="F1427" i="87" a="1"/>
  <c r="F148" i="87" a="1"/>
  <c r="F871" i="87" a="1"/>
  <c r="F1426" i="87" a="1"/>
  <c r="F5531" i="87" a="1"/>
  <c r="F1093" i="87" a="1"/>
  <c r="F2954" i="87" a="1"/>
  <c r="F2025" i="87" a="1"/>
  <c r="F6306" i="87" a="1"/>
  <c r="F3173" i="87" a="1"/>
  <c r="F5069" i="87" a="1"/>
  <c r="F4355" i="87" a="1"/>
  <c r="F5338" i="87" a="1"/>
  <c r="F729" i="87" a="1"/>
  <c r="F739" i="87" a="1"/>
  <c r="F1167" i="87" a="1"/>
  <c r="F2668" i="87" a="1"/>
  <c r="F6419" i="87" a="1"/>
  <c r="F6360" i="87" a="1"/>
  <c r="F5837" i="87" a="1"/>
  <c r="F5817" i="87" a="1"/>
  <c r="F1453" i="87" a="1"/>
  <c r="F6320" i="87" a="1"/>
  <c r="F2763" i="87" a="1"/>
  <c r="F6319" i="87" a="1"/>
  <c r="F675" i="87" a="1"/>
  <c r="F1329" i="87" a="1"/>
  <c r="F791" i="87" a="1"/>
  <c r="F3661" i="87" a="1"/>
  <c r="F736" i="87" a="1"/>
  <c r="F5501" i="87" a="1"/>
  <c r="F1270" i="87" a="1"/>
  <c r="F1227" i="87" a="1"/>
  <c r="F5327" i="87" a="1"/>
  <c r="F1446" i="87" a="1"/>
  <c r="F965" i="87" a="1"/>
  <c r="F6344" i="87" a="1"/>
  <c r="F6305" i="87" a="1"/>
  <c r="F1056" i="87" a="1"/>
  <c r="F1437" i="87" a="1"/>
  <c r="F2789" i="87" a="1"/>
  <c r="F1283" i="87" a="1"/>
  <c r="F7188" i="87" a="1"/>
  <c r="F1268" i="87" a="1"/>
  <c r="F6634" i="87" a="1"/>
  <c r="F1430" i="87" a="1"/>
  <c r="F5367" i="87" a="1"/>
  <c r="F2740" i="87" a="1"/>
  <c r="F6256" i="87" a="1"/>
  <c r="F913" i="87" a="1"/>
  <c r="F5010" i="87" a="1"/>
  <c r="F1050" i="87" a="1"/>
  <c r="F5481" i="87" a="1"/>
  <c r="F5190" i="87" a="1"/>
  <c r="F5936" i="87" a="1"/>
  <c r="F6173" i="87" a="1"/>
  <c r="F6292" i="87" a="1"/>
  <c r="F5647" i="87" a="1"/>
  <c r="F1440" i="87" a="1"/>
  <c r="F6258" i="87" a="1"/>
  <c r="F921" i="87" a="1"/>
  <c r="F1491" i="87" a="1"/>
  <c r="F5677" i="87" a="1"/>
  <c r="F2951" i="87" a="1"/>
  <c r="F1049" i="87" a="1"/>
  <c r="F1252" i="87" a="1"/>
  <c r="F1271" i="87" a="1"/>
  <c r="F4316" i="87" a="1"/>
  <c r="F2790" i="87" a="1"/>
  <c r="F2780" i="87" a="1"/>
  <c r="F2767" i="87" a="1"/>
  <c r="F4358" i="87" a="1"/>
  <c r="F5091" i="87" a="1"/>
  <c r="F1456" i="87" a="1"/>
  <c r="F6352" i="87" a="1"/>
  <c r="F5457" i="87" a="1"/>
  <c r="F1314" i="87" a="1"/>
  <c r="F5462" i="87" a="1"/>
  <c r="F2541" i="87" a="1"/>
  <c r="F1308" i="87" a="1"/>
  <c r="F2918" i="87" a="1"/>
  <c r="F6646" i="87" a="1"/>
  <c r="F6639" i="87" a="1"/>
  <c r="F4044" i="87" a="1"/>
  <c r="F1090" i="87" a="1"/>
  <c r="F671" i="87" a="1"/>
  <c r="F1404" i="87" a="1"/>
  <c r="F5852" i="87" a="1"/>
  <c r="F156" i="87" a="1"/>
  <c r="F6364" i="87" a="1"/>
  <c r="F5562" i="87" a="1"/>
  <c r="F5304" i="87" a="1"/>
  <c r="F6239" i="87" a="1"/>
  <c r="F6427" i="87" a="1"/>
  <c r="F2772" i="87" a="1"/>
  <c r="F6403" i="87" a="1"/>
  <c r="F971" i="87" a="1"/>
  <c r="F5369" i="87" a="1"/>
  <c r="F5248" i="87" a="1"/>
  <c r="F5602" i="87" a="1"/>
  <c r="F5311" i="87" a="1"/>
  <c r="F845" i="87" a="1"/>
  <c r="F6220" i="87" a="1"/>
  <c r="F1473" i="87" a="1"/>
  <c r="F5478" i="87" a="1"/>
  <c r="F1388" i="87" a="1"/>
  <c r="F1072" i="87" a="1"/>
  <c r="F5299" i="87" a="1"/>
  <c r="F5105" i="87" a="1"/>
  <c r="F1415" i="87" a="1"/>
  <c r="F1083" i="87" a="1"/>
  <c r="F1324" i="87" a="1"/>
  <c r="F5313" i="87" a="1"/>
  <c r="F1219" i="87" a="1"/>
  <c r="F4043" i="87" a="1"/>
  <c r="F1295" i="87" a="1"/>
  <c r="F6291" i="87" a="1"/>
  <c r="F1421" i="87" a="1"/>
  <c r="F4357" i="87" a="1"/>
  <c r="F6209" i="87" a="1"/>
  <c r="F2733" i="87" a="1"/>
  <c r="F1183" i="87" a="1"/>
  <c r="F6260" i="87" a="1"/>
  <c r="F5931" i="87" a="1"/>
  <c r="F6356" i="87" a="1"/>
  <c r="F4100" i="87" a="1"/>
  <c r="F1428" i="87" a="1"/>
  <c r="F6067" i="87" a="1"/>
  <c r="F2670" i="87" a="1"/>
  <c r="F6246" i="87" a="1"/>
  <c r="F2754" i="87" a="1"/>
  <c r="F1448" i="87" a="1"/>
  <c r="F5773" i="87" a="1"/>
  <c r="F6402" i="87" a="1"/>
  <c r="F1273" i="87" a="1"/>
  <c r="F6479" i="87" a="1"/>
  <c r="F2921" i="87" a="1"/>
  <c r="F1447" i="87" a="1"/>
  <c r="F6438" i="87" a="1"/>
  <c r="F5696" i="87" a="1"/>
  <c r="F1221" i="87" a="1"/>
  <c r="F1065" i="87" a="1"/>
  <c r="F1497" i="87" a="1"/>
  <c r="F794" i="87" a="1"/>
  <c r="F1054" i="87" a="1"/>
  <c r="F2930" i="87" a="1"/>
  <c r="F2755" i="87" a="1"/>
  <c r="F1457" i="87" a="1"/>
  <c r="F4386" i="87" a="1"/>
  <c r="F4155" i="87" a="1"/>
  <c r="F2931" i="87" a="1"/>
  <c r="F747" i="87" a="1"/>
  <c r="F4317" i="87" a="1"/>
  <c r="F787" i="87" a="1"/>
  <c r="F1088" i="87" a="1"/>
  <c r="F755" i="87" a="1"/>
  <c r="F1038" i="87" a="1"/>
  <c r="F3336" i="87" a="1"/>
  <c r="F1062" i="87" a="1"/>
  <c r="F1081" i="87" a="1"/>
  <c r="F1258" i="87" a="1"/>
  <c r="F5843" i="87" a="1"/>
  <c r="F4342" i="87" a="1"/>
  <c r="F5599" i="87" a="1"/>
  <c r="F6346" i="87" a="1"/>
  <c r="F852" i="87" a="1"/>
  <c r="F1416" i="87" a="1"/>
  <c r="F4031" i="87" a="1"/>
  <c r="F5862" i="87" a="1"/>
  <c r="F6332" i="87" a="1"/>
  <c r="F6254" i="87" a="1"/>
  <c r="F1423" i="87" a="1"/>
  <c r="F5432" i="87" a="1"/>
  <c r="F5558" i="87" a="1"/>
  <c r="F5506" i="87" a="1"/>
  <c r="F813" i="87" a="1"/>
  <c r="F6266" i="87" a="1"/>
  <c r="F6262" i="87" a="1"/>
  <c r="F6437" i="87" a="1"/>
  <c r="F5724" i="87" a="1"/>
  <c r="F5874" i="87" a="1"/>
  <c r="F6283" i="87" a="1"/>
  <c r="F2749" i="87" a="1"/>
  <c r="F968" i="87" a="1"/>
  <c r="F4339" i="87" a="1"/>
  <c r="F5064" i="87" a="1"/>
  <c r="F1361" i="87" a="1"/>
  <c r="F797" i="87" a="1"/>
  <c r="F6268" i="87" a="1"/>
  <c r="F4944" i="87" a="1"/>
  <c r="F6439" i="87" a="1"/>
  <c r="F1037" i="87" a="1"/>
  <c r="F5283" i="87" a="1"/>
  <c r="F1191" i="87" a="1"/>
  <c r="F1424" i="87" a="1"/>
  <c r="F6644" i="87" a="1"/>
  <c r="F5230" i="87" a="1"/>
  <c r="F5176" i="87" a="1"/>
  <c r="F1327" i="87" a="1"/>
  <c r="F4075" i="87" a="1"/>
  <c r="F6264" i="87" a="1"/>
  <c r="F1208" i="87" a="1"/>
  <c r="F6340" i="87" a="1"/>
  <c r="F6642" i="87" a="1"/>
  <c r="F681" i="87" a="1"/>
  <c r="F4301" i="87" a="1"/>
  <c r="F6244" i="87" a="1"/>
  <c r="F987" i="87" a="1"/>
  <c r="F1051" i="87" a="1"/>
  <c r="F855" i="87" a="1"/>
  <c r="F1175" i="87" a="1"/>
  <c r="F1450" i="87" a="1"/>
  <c r="F1224" i="87" a="1"/>
  <c r="F5292" i="87" a="1"/>
  <c r="F1431" i="87" a="1"/>
  <c r="F1228" i="87" a="1"/>
  <c r="F6350" i="87" a="1"/>
  <c r="F2762" i="87" a="1"/>
  <c r="F1229" i="87" a="1"/>
  <c r="F2785" i="87" a="1"/>
  <c r="F5830" i="87" a="1"/>
  <c r="F2031" i="87" a="1"/>
  <c r="F5122" i="87" a="1"/>
  <c r="F6436" i="87" a="1"/>
  <c r="F1467" i="87" a="1"/>
  <c r="F2922" i="87" a="1"/>
  <c r="F1080" i="87" a="1"/>
  <c r="F1091" i="87" a="1"/>
  <c r="F5536" i="87" a="1"/>
  <c r="F5278" i="87" a="1"/>
  <c r="F961" i="87" a="1"/>
  <c r="F1396" i="87" a="1"/>
  <c r="F6300" i="87" a="1"/>
  <c r="F4307" i="87" a="1"/>
  <c r="F1458" i="87" a="1"/>
  <c r="F6362" i="87" a="1"/>
  <c r="F1075" i="87" a="1"/>
  <c r="F6354" i="87" a="1"/>
  <c r="F5791" i="87" a="1"/>
  <c r="F4895" i="87" a="1"/>
  <c r="F5204" i="87" a="1"/>
  <c r="F6198" i="87" a="1"/>
  <c r="F5543" i="87" a="1"/>
  <c r="F1068" i="87" a="1"/>
  <c r="F733" i="87" a="1"/>
  <c r="F1071" i="87" a="1"/>
  <c r="F1455" i="87" a="1"/>
  <c r="F2786" i="87" a="1"/>
  <c r="F5286" i="87" a="1"/>
  <c r="F6382" i="87" a="1"/>
  <c r="F929" i="87" a="1"/>
  <c r="F2920" i="87" a="1"/>
  <c r="F1417" i="87" a="1"/>
  <c r="F1061" i="87" a="1"/>
  <c r="F5747" i="87" a="1"/>
  <c r="F3325" i="87" a="1"/>
  <c r="F1218" i="87" a="1"/>
  <c r="F3432" i="87" a="1"/>
  <c r="F678" i="87" a="1"/>
  <c r="F2955" i="87" a="1"/>
  <c r="F3006" i="87" a="1"/>
  <c r="F5040" i="87" a="1"/>
  <c r="F5388" i="87" a="1"/>
  <c r="F2952" i="87" a="1"/>
  <c r="F1060" i="87" a="1"/>
  <c r="F6169" i="87" a="1"/>
  <c r="F150" i="87" a="1"/>
  <c r="F1499" i="87" a="1"/>
  <c r="F6411" i="87" a="1"/>
  <c r="F5822" i="87" a="1"/>
  <c r="F4340" i="87" a="1"/>
  <c r="F7095" i="87" a="1"/>
  <c r="F1053" i="87" a="1"/>
  <c r="F6248" i="87" a="1"/>
  <c r="F4341" i="87" a="1"/>
  <c r="F4024" i="87" a="1"/>
  <c r="F3334" i="87" a="1"/>
  <c r="F689" i="87" a="1"/>
  <c r="F1269" i="87" a="1"/>
  <c r="F1439" i="87" a="1"/>
  <c r="F2919" i="87" a="1"/>
  <c r="F5870" i="87" a="1"/>
  <c r="F6635" i="87" a="1"/>
  <c r="F1200" i="87" a="1"/>
  <c r="F6252" i="87" a="1"/>
  <c r="F5692" i="87" a="1"/>
  <c r="F5034" i="87" a="1"/>
  <c r="F6415" i="87" a="1"/>
  <c r="F12" i="87" a="1"/>
  <c r="F3335" i="87" a="1"/>
  <c r="F3009" i="87" a="1"/>
  <c r="F979" i="87" a="1"/>
  <c r="F697" i="87" a="1"/>
  <c r="F5015" i="87" a="1"/>
  <c r="F849" i="87" a="1"/>
  <c r="F1055" i="87" a="1"/>
  <c r="F3324" i="87" a="1"/>
  <c r="F1064" i="87" a="1"/>
  <c r="F6409" i="87" a="1"/>
  <c r="F6466" i="87" a="1"/>
  <c r="F6182" i="87" a="1"/>
  <c r="F1419" i="87" a="1"/>
  <c r="F1380" i="87" a="1"/>
  <c r="F146" i="87" a="1"/>
  <c r="F910" i="87" a="1"/>
  <c r="F6348" i="87" a="1"/>
  <c r="F2953" i="87" a="1"/>
  <c r="F5728" i="87" a="1"/>
  <c r="F5621" i="87" a="1"/>
  <c r="F1302" i="87" a="1"/>
  <c r="F1434" i="87" a="1"/>
  <c r="F1445" i="87" a="1"/>
  <c r="F5669" i="87" a="1"/>
  <c r="F863" i="87" a="1"/>
  <c r="F5076" i="87" a="1"/>
  <c r="F1365" i="87" a="1"/>
  <c r="F5867" i="87" a="1"/>
  <c r="F1433" i="87" a="1"/>
  <c r="F2038" i="87" a="1"/>
  <c r="F6299" i="87" a="1"/>
  <c r="F1211" i="87" a="1"/>
  <c r="F6367" i="87" a="1"/>
  <c r="F1067" i="87" a="1"/>
  <c r="F1422" i="87" a="1"/>
  <c r="F1078" i="87" a="1"/>
  <c r="F5870" i="87" l="1"/>
  <c r="B5870" i="87"/>
  <c r="F5677" i="87"/>
  <c r="B5677" i="87"/>
  <c r="F5526" i="87"/>
  <c r="E5526" i="87" s="1"/>
  <c r="B5526" i="87"/>
  <c r="F5286" i="87"/>
  <c r="E5286" i="87" s="1"/>
  <c r="B5286" i="87"/>
  <c r="F5034" i="87"/>
  <c r="E5034" i="87" s="1"/>
  <c r="B5034" i="87"/>
  <c r="F4075" i="87"/>
  <c r="E4075" i="87" s="1"/>
  <c r="B4075" i="87"/>
  <c r="F4386" i="87"/>
  <c r="E4386" i="87" s="1"/>
  <c r="B4386" i="87"/>
  <c r="F5791" i="87"/>
  <c r="E5791" i="87" s="1"/>
  <c r="B5791" i="87"/>
  <c r="F5432" i="87"/>
  <c r="B5432" i="87"/>
  <c r="C5432" i="87" s="1"/>
  <c r="F5248" i="87"/>
  <c r="B5248" i="87"/>
  <c r="C5248" i="87" s="1"/>
  <c r="F5773" i="87"/>
  <c r="E5773" i="87" s="1"/>
  <c r="B5773" i="87"/>
  <c r="F5647" i="87"/>
  <c r="B5647" i="87"/>
  <c r="F5414" i="87"/>
  <c r="E5414" i="87" s="1"/>
  <c r="B5414" i="87"/>
  <c r="C5414" i="87" s="1"/>
  <c r="F5230" i="87"/>
  <c r="B5230" i="87"/>
  <c r="F4358" i="87"/>
  <c r="B4358" i="87"/>
  <c r="F4357" i="87"/>
  <c r="B4357" i="87"/>
  <c r="F4356" i="87"/>
  <c r="E4356" i="87" s="1"/>
  <c r="B4356" i="87"/>
  <c r="F4355" i="87"/>
  <c r="E4355" i="87" s="1"/>
  <c r="B4355" i="87"/>
  <c r="F5747" i="87"/>
  <c r="E5747" i="87" s="1"/>
  <c r="B5747" i="87"/>
  <c r="F5621" i="87"/>
  <c r="E5621" i="87" s="1"/>
  <c r="B5621" i="87"/>
  <c r="F5388" i="87"/>
  <c r="E5388" i="87" s="1"/>
  <c r="B5388" i="87"/>
  <c r="F5204" i="87"/>
  <c r="E5204" i="87" s="1"/>
  <c r="B5204" i="87"/>
  <c r="F6182" i="87"/>
  <c r="F5190" i="87"/>
  <c r="F4341" i="87"/>
  <c r="E4341" i="87" s="1"/>
  <c r="B4341" i="87"/>
  <c r="F4342" i="87"/>
  <c r="E4342" i="87" s="1"/>
  <c r="B4342" i="87"/>
  <c r="F4340" i="87"/>
  <c r="E4340" i="87" s="1"/>
  <c r="B4340" i="87"/>
  <c r="F4339" i="87"/>
  <c r="E4339" i="87" s="1"/>
  <c r="B4339" i="87"/>
  <c r="F5960" i="87"/>
  <c r="E5960" i="87" s="1"/>
  <c r="B5960" i="87"/>
  <c r="F5852" i="87"/>
  <c r="E5852" i="87" s="1"/>
  <c r="B5852" i="87"/>
  <c r="F5728" i="87"/>
  <c r="F5602" i="87"/>
  <c r="F5369" i="87"/>
  <c r="F5176" i="87"/>
  <c r="F4895" i="87"/>
  <c r="E4895" i="87" s="1"/>
  <c r="B4895" i="87"/>
  <c r="F6173" i="87"/>
  <c r="E6173" i="87" s="1"/>
  <c r="B6173" i="87"/>
  <c r="F4317" i="87"/>
  <c r="E4317" i="87" s="1"/>
  <c r="B4317" i="87"/>
  <c r="C4317" i="87" s="1"/>
  <c r="F4894" i="87"/>
  <c r="E4894" i="87" s="1"/>
  <c r="B4894" i="87"/>
  <c r="F5724" i="87"/>
  <c r="E5724" i="87" s="1"/>
  <c r="B5724" i="87"/>
  <c r="F5599" i="87"/>
  <c r="E5599" i="87" s="1"/>
  <c r="B5599" i="87"/>
  <c r="C5599" i="87" s="1"/>
  <c r="F4316" i="87"/>
  <c r="E4316" i="87" s="1"/>
  <c r="B4316" i="87"/>
  <c r="F5367" i="87"/>
  <c r="E5367" i="87" s="1"/>
  <c r="B5367" i="87"/>
  <c r="F5169" i="87"/>
  <c r="B5169" i="87"/>
  <c r="C5169" i="87" s="1"/>
  <c r="F4301" i="87"/>
  <c r="E4301" i="87" s="1"/>
  <c r="B4301" i="87"/>
  <c r="F5562" i="87"/>
  <c r="E5562" i="87" s="1"/>
  <c r="B5562" i="87"/>
  <c r="F5338" i="87"/>
  <c r="B5338" i="87"/>
  <c r="C5338" i="87" s="1"/>
  <c r="F5122" i="87"/>
  <c r="E5122" i="87" s="1"/>
  <c r="B5122" i="87"/>
  <c r="C5122" i="87" s="1"/>
  <c r="F4944" i="87"/>
  <c r="E4944" i="87" s="1"/>
  <c r="B4944" i="87"/>
  <c r="F6169" i="87"/>
  <c r="B6169" i="87"/>
  <c r="C6169" i="87" s="1"/>
  <c r="F4307" i="87"/>
  <c r="E4307" i="87" s="1"/>
  <c r="B4307" i="87"/>
  <c r="F5843" i="87"/>
  <c r="E5843" i="87" s="1"/>
  <c r="B5843" i="87"/>
  <c r="F5481" i="87"/>
  <c r="E5481" i="87" s="1"/>
  <c r="B5481" i="87"/>
  <c r="F5950" i="87"/>
  <c r="E5950" i="87" s="1"/>
  <c r="B5950" i="87"/>
  <c r="F6130" i="87"/>
  <c r="E6130" i="87" s="1"/>
  <c r="B6130" i="87"/>
  <c r="F5837" i="87"/>
  <c r="E5837" i="87" s="1"/>
  <c r="B5837" i="87"/>
  <c r="C5837" i="87" s="1"/>
  <c r="F5692" i="87"/>
  <c r="B5692" i="87"/>
  <c r="C5692" i="87" s="1"/>
  <c r="F5543" i="87"/>
  <c r="E5543" i="87" s="1"/>
  <c r="B5543" i="87"/>
  <c r="C5543" i="87" s="1"/>
  <c r="F5478" i="87"/>
  <c r="B5478" i="87"/>
  <c r="F5311" i="87"/>
  <c r="E5311" i="87" s="1"/>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F5056" i="87"/>
  <c r="B5056" i="87"/>
  <c r="F5292" i="87"/>
  <c r="B5292" i="87"/>
  <c r="F5040" i="87"/>
  <c r="B5040" i="87"/>
  <c r="C5040" i="87" s="1"/>
  <c r="F5931" i="87"/>
  <c r="B5931" i="87"/>
  <c r="F6067" i="87"/>
  <c r="B6067" i="87"/>
  <c r="F5862" i="87"/>
  <c r="B5862" i="87"/>
  <c r="F5817" i="87"/>
  <c r="B5817" i="87"/>
  <c r="F5669" i="87"/>
  <c r="B5669" i="87"/>
  <c r="F5501" i="87"/>
  <c r="F5457" i="87"/>
  <c r="E5457" i="87" s="1"/>
  <c r="B5457" i="87"/>
  <c r="F5278" i="87"/>
  <c r="B5278" i="87"/>
  <c r="F5010" i="87"/>
  <c r="F6480" i="87"/>
  <c r="F3661" i="87"/>
  <c r="F4043" i="87"/>
  <c r="F1497" i="87"/>
  <c r="F1485" i="87"/>
  <c r="F1473" i="87"/>
  <c r="F1502" i="87"/>
  <c r="F154" i="87"/>
  <c r="E154" i="87" s="1"/>
  <c r="F1458" i="87"/>
  <c r="F2789" i="87"/>
  <c r="E2789" i="87" s="1"/>
  <c r="F1456" i="87"/>
  <c r="F1453" i="87"/>
  <c r="F1450" i="87"/>
  <c r="E1450" i="87" s="1"/>
  <c r="F1447" i="87"/>
  <c r="E1447" i="87" s="1"/>
  <c r="F1445" i="87"/>
  <c r="E1445" i="87" s="1"/>
  <c r="F1442" i="87"/>
  <c r="E1442" i="87" s="1"/>
  <c r="F1440" i="87"/>
  <c r="F1438" i="87"/>
  <c r="E1438" i="87" s="1"/>
  <c r="F1436" i="87"/>
  <c r="E1436" i="87" s="1"/>
  <c r="F6427" i="87"/>
  <c r="E6427" i="87" s="1"/>
  <c r="F2670" i="87"/>
  <c r="E2670" i="87" s="1"/>
  <c r="F1430" i="87"/>
  <c r="F1428" i="87"/>
  <c r="E1428" i="87" s="1"/>
  <c r="F1426" i="87"/>
  <c r="F1422" i="87"/>
  <c r="E1422" i="87" s="1"/>
  <c r="F1420" i="87"/>
  <c r="F1354" i="87"/>
  <c r="F1410" i="87"/>
  <c r="E1410" i="87" s="1"/>
  <c r="F1404" i="87"/>
  <c r="E1404" i="87" s="1"/>
  <c r="F1416" i="87"/>
  <c r="F1414" i="87"/>
  <c r="E1414" i="87" s="1"/>
  <c r="F3009" i="87"/>
  <c r="F3335" i="87"/>
  <c r="F3334" i="87"/>
  <c r="F6646" i="87"/>
  <c r="F6644" i="87"/>
  <c r="E6644" i="87" s="1"/>
  <c r="F1329" i="87"/>
  <c r="F2785" i="87"/>
  <c r="E2785" i="87" s="1"/>
  <c r="F1327" i="87"/>
  <c r="E1327" i="87" s="1"/>
  <c r="F2772" i="87"/>
  <c r="F2956" i="87"/>
  <c r="F2954" i="87"/>
  <c r="E2954" i="87" s="1"/>
  <c r="F2952" i="87"/>
  <c r="E2952" i="87" s="1"/>
  <c r="F2780" i="87"/>
  <c r="E2780" i="87" s="1"/>
  <c r="F1321" i="87"/>
  <c r="F150" i="87"/>
  <c r="E150" i="87" s="1"/>
  <c r="F1270" i="87"/>
  <c r="E1270" i="87" s="1"/>
  <c r="F2762" i="87"/>
  <c r="E2762" i="87" s="1"/>
  <c r="F1268" i="87"/>
  <c r="E1268" i="87" s="1"/>
  <c r="F148" i="87"/>
  <c r="F2755" i="87"/>
  <c r="E2755" i="87" s="1"/>
  <c r="F1228" i="87"/>
  <c r="E1228" i="87" s="1"/>
  <c r="F2931" i="87"/>
  <c r="E2931" i="87" s="1"/>
  <c r="F2749" i="87"/>
  <c r="E2749" i="87" s="1"/>
  <c r="F6383" i="87"/>
  <c r="E6383" i="87" s="1"/>
  <c r="F1208" i="87"/>
  <c r="F1191" i="87"/>
  <c r="F1175" i="87"/>
  <c r="F1221" i="87"/>
  <c r="E1221" i="87" s="1"/>
  <c r="F1220" i="87"/>
  <c r="F1218" i="87"/>
  <c r="F146" i="87"/>
  <c r="E146" i="87" s="1"/>
  <c r="F2740" i="87"/>
  <c r="E2740" i="87" s="1"/>
  <c r="F1091" i="87"/>
  <c r="E1091" i="87" s="1"/>
  <c r="F6364" i="87"/>
  <c r="E6364" i="87" s="1"/>
  <c r="F6360" i="87"/>
  <c r="E6360" i="87" s="1"/>
  <c r="F6356" i="87"/>
  <c r="E6356" i="87" s="1"/>
  <c r="F6350" i="87"/>
  <c r="F6346" i="87"/>
  <c r="E6346" i="87" s="1"/>
  <c r="F6342" i="87"/>
  <c r="F2920" i="87"/>
  <c r="F2918" i="87"/>
  <c r="E2918" i="87" s="1"/>
  <c r="F1088" i="87"/>
  <c r="F6332" i="87"/>
  <c r="E6332" i="87" s="1"/>
  <c r="F987" i="87"/>
  <c r="E987" i="87" s="1"/>
  <c r="F871" i="87"/>
  <c r="E871" i="87" s="1"/>
  <c r="F755" i="87"/>
  <c r="E755" i="87" s="1"/>
  <c r="F1083" i="87"/>
  <c r="F1080" i="87"/>
  <c r="E1080" i="87" s="1"/>
  <c r="F1078" i="87"/>
  <c r="F6319" i="87"/>
  <c r="E6319" i="87" s="1"/>
  <c r="F921" i="87"/>
  <c r="F805" i="87"/>
  <c r="F689" i="87"/>
  <c r="E689" i="87" s="1"/>
  <c r="F1074" i="87"/>
  <c r="F1072" i="87"/>
  <c r="E1072" i="87" s="1"/>
  <c r="F1070" i="87"/>
  <c r="F1067" i="87"/>
  <c r="F6299" i="87"/>
  <c r="E6299" i="87" s="1"/>
  <c r="F910" i="87"/>
  <c r="E910" i="87" s="1"/>
  <c r="F794" i="87"/>
  <c r="F678" i="87"/>
  <c r="F2668" i="87"/>
  <c r="F1064" i="87"/>
  <c r="F6291" i="87"/>
  <c r="E6291" i="87" s="1"/>
  <c r="F907" i="87"/>
  <c r="F791" i="87"/>
  <c r="F675" i="87"/>
  <c r="F1061" i="87"/>
  <c r="F1056" i="87"/>
  <c r="F1054" i="87"/>
  <c r="F6266" i="87"/>
  <c r="E6266" i="87" s="1"/>
  <c r="F6262" i="87"/>
  <c r="E6262" i="87" s="1"/>
  <c r="F6258" i="87"/>
  <c r="E6258" i="87" s="1"/>
  <c r="F6254" i="87"/>
  <c r="E6254" i="87" s="1"/>
  <c r="F6250" i="87"/>
  <c r="E6250" i="87" s="1"/>
  <c r="F6246" i="87"/>
  <c r="E6246" i="87" s="1"/>
  <c r="F3325" i="87"/>
  <c r="E3325" i="87" s="1"/>
  <c r="F6239" i="87"/>
  <c r="F1051" i="87"/>
  <c r="E1051" i="87" s="1"/>
  <c r="F1049" i="87"/>
  <c r="F6220" i="87"/>
  <c r="E6220" i="87" s="1"/>
  <c r="F6209" i="87"/>
  <c r="E6209" i="87" s="1"/>
  <c r="F6198" i="87"/>
  <c r="F156" i="87"/>
  <c r="F6479" i="87"/>
  <c r="E6479" i="87" s="1"/>
  <c r="F4044" i="87"/>
  <c r="E4044" i="87" s="1"/>
  <c r="F6466" i="87"/>
  <c r="F1491" i="87"/>
  <c r="F1479" i="87"/>
  <c r="F1467" i="87"/>
  <c r="F1499" i="87"/>
  <c r="E1499" i="87" s="1"/>
  <c r="F1396" i="87"/>
  <c r="F2790" i="87"/>
  <c r="E2790" i="87" s="1"/>
  <c r="F1457" i="87"/>
  <c r="E1457" i="87" s="1"/>
  <c r="F1455" i="87"/>
  <c r="F1388" i="87"/>
  <c r="E1388" i="87" s="1"/>
  <c r="F1448" i="87"/>
  <c r="E1448" i="87" s="1"/>
  <c r="F1446" i="87"/>
  <c r="E1446" i="87" s="1"/>
  <c r="F1380" i="87"/>
  <c r="F1441" i="87"/>
  <c r="F1439" i="87"/>
  <c r="E1439" i="87" s="1"/>
  <c r="F1437" i="87"/>
  <c r="F1433" i="87"/>
  <c r="F6419" i="87"/>
  <c r="E6419" i="87" s="1"/>
  <c r="F1431" i="87"/>
  <c r="F1365" i="87"/>
  <c r="F1427" i="87"/>
  <c r="F1423" i="87"/>
  <c r="E1423" i="87" s="1"/>
  <c r="F1421" i="87"/>
  <c r="E1421" i="87" s="1"/>
  <c r="F1419" i="87"/>
  <c r="F3336" i="87"/>
  <c r="E3336" i="87" s="1"/>
  <c r="F6415" i="87"/>
  <c r="F1417" i="87"/>
  <c r="E1417" i="87" s="1"/>
  <c r="F1415" i="87"/>
  <c r="E1415" i="87" s="1"/>
  <c r="F6413" i="87"/>
  <c r="E6413" i="87" s="1"/>
  <c r="F6411" i="87"/>
  <c r="E6411" i="87" s="1"/>
  <c r="F6409" i="87"/>
  <c r="F152" i="87"/>
  <c r="E152" i="87" s="1"/>
  <c r="F4155" i="87"/>
  <c r="F4100" i="87"/>
  <c r="F2786" i="87"/>
  <c r="E2786" i="87" s="1"/>
  <c r="F1328" i="87"/>
  <c r="E1328" i="87" s="1"/>
  <c r="F2783" i="87"/>
  <c r="F2767" i="87"/>
  <c r="F2955" i="87"/>
  <c r="E2955" i="87" s="1"/>
  <c r="F2953" i="87"/>
  <c r="F2951" i="87"/>
  <c r="E2951" i="87" s="1"/>
  <c r="F2763" i="87"/>
  <c r="E2763" i="87" s="1"/>
  <c r="F1269" i="87"/>
  <c r="E1269" i="87" s="1"/>
  <c r="F6642" i="87"/>
  <c r="E6642" i="87" s="1"/>
  <c r="F2754" i="87"/>
  <c r="E2754" i="87" s="1"/>
  <c r="F1227" i="87"/>
  <c r="E1227" i="87" s="1"/>
  <c r="F2930" i="87"/>
  <c r="F6382" i="87"/>
  <c r="E6382" i="87" s="1"/>
  <c r="F1200" i="87"/>
  <c r="F1183" i="87"/>
  <c r="F1167" i="87"/>
  <c r="E1167" i="87" s="1"/>
  <c r="F3432" i="87"/>
  <c r="E3432" i="87" s="1"/>
  <c r="F1219" i="87"/>
  <c r="E1219" i="87" s="1"/>
  <c r="F6638" i="87"/>
  <c r="E6638" i="87" s="1"/>
  <c r="F2739" i="87"/>
  <c r="E2739" i="87" s="1"/>
  <c r="F1090" i="87"/>
  <c r="E1090" i="87" s="1"/>
  <c r="F6362" i="87"/>
  <c r="E6362" i="87" s="1"/>
  <c r="F6358" i="87"/>
  <c r="E6358" i="87" s="1"/>
  <c r="F6354" i="87"/>
  <c r="E6354" i="87" s="1"/>
  <c r="F6348" i="87"/>
  <c r="E6348" i="87" s="1"/>
  <c r="F6344" i="87"/>
  <c r="E6344" i="87" s="1"/>
  <c r="F6340" i="87"/>
  <c r="E6340" i="87" s="1"/>
  <c r="F2921" i="87"/>
  <c r="E2921" i="87" s="1"/>
  <c r="F2919" i="87"/>
  <c r="E2919" i="87" s="1"/>
  <c r="F2917" i="87"/>
  <c r="E2917" i="87" s="1"/>
  <c r="F6331" i="87"/>
  <c r="E6331" i="87" s="1"/>
  <c r="F929" i="87"/>
  <c r="E929" i="87" s="1"/>
  <c r="F813" i="87"/>
  <c r="F697" i="87"/>
  <c r="E697" i="87" s="1"/>
  <c r="F1081" i="87"/>
  <c r="E1081" i="87" s="1"/>
  <c r="F1079" i="87"/>
  <c r="E1079" i="87" s="1"/>
  <c r="F6320" i="87"/>
  <c r="E6320" i="87" s="1"/>
  <c r="F979" i="87"/>
  <c r="F863" i="87"/>
  <c r="F747" i="87"/>
  <c r="E747" i="87" s="1"/>
  <c r="F1075" i="87"/>
  <c r="F1073" i="87"/>
  <c r="E1073" i="87" s="1"/>
  <c r="F1071" i="87"/>
  <c r="F6300" i="87"/>
  <c r="E6300" i="87" s="1"/>
  <c r="F968" i="87"/>
  <c r="F852" i="87"/>
  <c r="F736" i="87"/>
  <c r="F6634" i="87"/>
  <c r="E6634" i="87" s="1"/>
  <c r="F1065" i="87"/>
  <c r="F6292" i="87"/>
  <c r="E6292" i="87" s="1"/>
  <c r="F965" i="87"/>
  <c r="E965" i="87" s="1"/>
  <c r="F849" i="87"/>
  <c r="E849" i="87" s="1"/>
  <c r="F733" i="87"/>
  <c r="F1062" i="87"/>
  <c r="F1060" i="87"/>
  <c r="F1057" i="87"/>
  <c r="F1055" i="87"/>
  <c r="F1053" i="87"/>
  <c r="F6268" i="87"/>
  <c r="E6268" i="87" s="1"/>
  <c r="F6264" i="87"/>
  <c r="E6264" i="87" s="1"/>
  <c r="F6260" i="87"/>
  <c r="E6260" i="87" s="1"/>
  <c r="F6256" i="87"/>
  <c r="E6256" i="87" s="1"/>
  <c r="F6252" i="87"/>
  <c r="E6252" i="87" s="1"/>
  <c r="F6248" i="87"/>
  <c r="E6248" i="87" s="1"/>
  <c r="F6244" i="87"/>
  <c r="E6244" i="87" s="1"/>
  <c r="F1044" i="87"/>
  <c r="E1044" i="87" s="1"/>
  <c r="F1038" i="87"/>
  <c r="E1038" i="87" s="1"/>
  <c r="F1050" i="87"/>
  <c r="F1048" i="87"/>
  <c r="E1048" i="87" s="1"/>
  <c r="F3006" i="87"/>
  <c r="F3324" i="87"/>
  <c r="F1037" i="87"/>
  <c r="B6480" i="87"/>
  <c r="F309" i="30"/>
  <c r="B154" i="87"/>
  <c r="B2789" i="87"/>
  <c r="B1450" i="87"/>
  <c r="B1447" i="87"/>
  <c r="B1445" i="87"/>
  <c r="B1442" i="87"/>
  <c r="B1440" i="87"/>
  <c r="B1438" i="87"/>
  <c r="B1436" i="87"/>
  <c r="B6427" i="87"/>
  <c r="B2670" i="87"/>
  <c r="B1428" i="87"/>
  <c r="B1426" i="87"/>
  <c r="B1422" i="87"/>
  <c r="B1420" i="87"/>
  <c r="B1410" i="87"/>
  <c r="B1404" i="87"/>
  <c r="B1416" i="87"/>
  <c r="B1414" i="87"/>
  <c r="B3009" i="87"/>
  <c r="B3335" i="87"/>
  <c r="B3334" i="87"/>
  <c r="B6644" i="87"/>
  <c r="B2785" i="87"/>
  <c r="B1327" i="87"/>
  <c r="B2954" i="87"/>
  <c r="B2952" i="87"/>
  <c r="B2780" i="87"/>
  <c r="B1321" i="87"/>
  <c r="B150" i="87"/>
  <c r="B1270" i="87"/>
  <c r="B2762" i="87"/>
  <c r="B1268" i="87"/>
  <c r="B2755" i="87"/>
  <c r="B1228" i="87"/>
  <c r="B2931" i="87"/>
  <c r="B2749" i="87"/>
  <c r="B6383" i="87"/>
  <c r="B1208" i="87"/>
  <c r="B1191" i="87"/>
  <c r="B1175" i="87"/>
  <c r="B1221" i="87"/>
  <c r="B1220" i="87"/>
  <c r="J20" i="99"/>
  <c r="J24" i="99" s="1"/>
  <c r="B146" i="87"/>
  <c r="B2740" i="87"/>
  <c r="B1091" i="87"/>
  <c r="B6364" i="87"/>
  <c r="B6360" i="87"/>
  <c r="B6356" i="87"/>
  <c r="B6350" i="87"/>
  <c r="B6346" i="87"/>
  <c r="B2920" i="87"/>
  <c r="B2918" i="87"/>
  <c r="B6332" i="87"/>
  <c r="B987" i="87"/>
  <c r="B871" i="87"/>
  <c r="B755" i="87"/>
  <c r="B1083" i="87"/>
  <c r="B1080" i="87"/>
  <c r="B6319" i="87"/>
  <c r="B921" i="87"/>
  <c r="C921" i="87" s="1"/>
  <c r="B805" i="87"/>
  <c r="B689" i="87"/>
  <c r="B1074" i="87"/>
  <c r="B1072" i="87"/>
  <c r="B1067" i="87"/>
  <c r="B6299" i="87"/>
  <c r="B910" i="87"/>
  <c r="B794" i="87"/>
  <c r="B678" i="87"/>
  <c r="B1064" i="87"/>
  <c r="B6291" i="87"/>
  <c r="B791" i="87"/>
  <c r="B675" i="87"/>
  <c r="B1061" i="87"/>
  <c r="B1056" i="87"/>
  <c r="B6266" i="87"/>
  <c r="B6262" i="87"/>
  <c r="B6258" i="87"/>
  <c r="B6254" i="87"/>
  <c r="B6250" i="87"/>
  <c r="B6246" i="87"/>
  <c r="B3325" i="87"/>
  <c r="B6239" i="87"/>
  <c r="B1051" i="87"/>
  <c r="B1049" i="87"/>
  <c r="B6220" i="87"/>
  <c r="B6209" i="87"/>
  <c r="B6198" i="87"/>
  <c r="C6198" i="87" s="1"/>
  <c r="H18" i="73"/>
  <c r="B6479" i="87"/>
  <c r="B4044" i="87"/>
  <c r="G309" i="30"/>
  <c r="C309" i="30"/>
  <c r="H124" i="73" s="1"/>
  <c r="B1499" i="87"/>
  <c r="H292" i="30"/>
  <c r="B2790" i="87"/>
  <c r="B1457" i="87"/>
  <c r="B1388" i="87"/>
  <c r="B1448" i="87"/>
  <c r="B1446" i="87"/>
  <c r="B1380" i="87"/>
  <c r="B1441" i="87"/>
  <c r="B1439" i="87"/>
  <c r="B1437" i="87"/>
  <c r="B1433" i="87"/>
  <c r="B6419" i="87"/>
  <c r="B1431" i="87"/>
  <c r="B1365" i="87"/>
  <c r="B1427" i="87"/>
  <c r="C1427" i="87" s="1"/>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B863" i="87"/>
  <c r="B747" i="87"/>
  <c r="B1073" i="87"/>
  <c r="B1071" i="87"/>
  <c r="B6300" i="87"/>
  <c r="B968" i="87"/>
  <c r="B852" i="87"/>
  <c r="B736" i="87"/>
  <c r="B6634" i="87"/>
  <c r="B6292" i="87"/>
  <c r="B965" i="87"/>
  <c r="B849" i="87"/>
  <c r="B733" i="87"/>
  <c r="B1062" i="87"/>
  <c r="B1060" i="87"/>
  <c r="B1057" i="87"/>
  <c r="B1055" i="87"/>
  <c r="B1053" i="87"/>
  <c r="B6268" i="87"/>
  <c r="B6264" i="87"/>
  <c r="B6260" i="87"/>
  <c r="B6256" i="87"/>
  <c r="B6252" i="87"/>
  <c r="B6248" i="87"/>
  <c r="B6244" i="87"/>
  <c r="B1044" i="87"/>
  <c r="B1038" i="87"/>
  <c r="B1050" i="87"/>
  <c r="B1048" i="87"/>
  <c r="B3006" i="87"/>
  <c r="B3324" i="87"/>
  <c r="B1037" i="87"/>
  <c r="F2541" i="87"/>
  <c r="F7188" i="87"/>
  <c r="F12" i="87"/>
  <c r="F1324" i="87"/>
  <c r="F103" i="73"/>
  <c r="B7188" i="87"/>
  <c r="C7188" i="87" s="1"/>
  <c r="F6403" i="87"/>
  <c r="E6403" i="87" s="1"/>
  <c r="B6403" i="87"/>
  <c r="F6402" i="87"/>
  <c r="B6402" i="87"/>
  <c r="F1314" i="87"/>
  <c r="B1314" i="87"/>
  <c r="F1308" i="87"/>
  <c r="F1302" i="87"/>
  <c r="F1295" i="87"/>
  <c r="B1295" i="87"/>
  <c r="F1289" i="87"/>
  <c r="E1289" i="87" s="1"/>
  <c r="B1289" i="87"/>
  <c r="F1283" i="87"/>
  <c r="F4031" i="87"/>
  <c r="B1283" i="87"/>
  <c r="C1283" i="87" s="1"/>
  <c r="F1273" i="87"/>
  <c r="F1274" i="87"/>
  <c r="F1252" i="87"/>
  <c r="E178" i="30"/>
  <c r="F1271" i="87"/>
  <c r="F1258" i="87"/>
  <c r="E1258" i="87" s="1"/>
  <c r="B1258" i="87"/>
  <c r="F7095" i="87"/>
  <c r="B7095" i="87"/>
  <c r="C7095" i="87" s="1"/>
  <c r="F6639" i="87"/>
  <c r="F1229" i="87"/>
  <c r="B6639" i="87"/>
  <c r="F1224" i="87"/>
  <c r="F2038" i="87"/>
  <c r="E2038" i="87" s="1"/>
  <c r="B2038" i="87"/>
  <c r="F1211" i="87"/>
  <c r="B1211" i="87"/>
  <c r="C1211" i="87" s="1"/>
  <c r="F2932" i="87"/>
  <c r="F2031" i="87"/>
  <c r="B2031" i="87"/>
  <c r="F6635" i="87"/>
  <c r="F1093" i="87"/>
  <c r="B6635" i="87"/>
  <c r="F6438" i="87"/>
  <c r="E6438" i="87" s="1"/>
  <c r="B6438" i="87"/>
  <c r="F6436" i="87"/>
  <c r="F6352" i="87"/>
  <c r="B6436" i="87"/>
  <c r="F2025" i="87"/>
  <c r="B2025" i="87"/>
  <c r="F2922" i="87"/>
  <c r="F2733" i="87"/>
  <c r="E2733" i="87" s="1"/>
  <c r="B2733" i="87"/>
  <c r="F4024" i="87"/>
  <c r="F1086" i="87"/>
  <c r="F6305" i="87"/>
  <c r="F913" i="87"/>
  <c r="F797" i="87"/>
  <c r="F681" i="87"/>
  <c r="F6306" i="87"/>
  <c r="F971" i="87"/>
  <c r="F855" i="87"/>
  <c r="F739" i="87"/>
  <c r="F1068" i="87"/>
  <c r="B6305" i="87"/>
  <c r="C6305" i="87" s="1"/>
  <c r="B913" i="87"/>
  <c r="B797" i="87"/>
  <c r="C797" i="87" s="1"/>
  <c r="B681" i="87"/>
  <c r="B6306" i="87"/>
  <c r="C6306" i="87" s="1"/>
  <c r="B971" i="87"/>
  <c r="B855" i="87"/>
  <c r="C855" i="87" s="1"/>
  <c r="B739" i="87"/>
  <c r="F6284" i="87"/>
  <c r="E6284" i="87" s="1"/>
  <c r="B6284" i="87"/>
  <c r="F6283" i="87"/>
  <c r="E6283" i="87" s="1"/>
  <c r="B6283" i="87"/>
  <c r="F961" i="87"/>
  <c r="E961" i="87" s="1"/>
  <c r="B961" i="87"/>
  <c r="F903" i="87"/>
  <c r="E903" i="87" s="1"/>
  <c r="B903" i="87"/>
  <c r="F845" i="87"/>
  <c r="B845" i="87"/>
  <c r="C845" i="87" s="1"/>
  <c r="F787" i="87"/>
  <c r="B787" i="87"/>
  <c r="F729" i="87"/>
  <c r="F1058" i="87"/>
  <c r="F671" i="87"/>
  <c r="F1434" i="87"/>
  <c r="F1371" i="87"/>
  <c r="B1371" i="87"/>
  <c r="F5936" i="87"/>
  <c r="F5867" i="87"/>
  <c r="F5674" i="87"/>
  <c r="F5462" i="87"/>
  <c r="F6072" i="87"/>
  <c r="F5822" i="87"/>
  <c r="F5506" i="87"/>
  <c r="F5283" i="87"/>
  <c r="B5936" i="87"/>
  <c r="C5936" i="87" s="1"/>
  <c r="B5867" i="87"/>
  <c r="B5674" i="87"/>
  <c r="B5462" i="87"/>
  <c r="B6072" i="87"/>
  <c r="B5822" i="87"/>
  <c r="B5506" i="87"/>
  <c r="B5283" i="87"/>
  <c r="F1424" i="87"/>
  <c r="F1361" i="87"/>
  <c r="B1361" i="87"/>
  <c r="F6437" i="87"/>
  <c r="F6367" i="87"/>
  <c r="B6437" i="87"/>
  <c r="F5015" i="87"/>
  <c r="B5015" i="87"/>
  <c r="C5015" i="87" s="1"/>
  <c r="F2049" i="87"/>
  <c r="E2049" i="87" s="1"/>
  <c r="F3173" i="87"/>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E5432" i="87"/>
  <c r="C5773" i="87"/>
  <c r="C4358" i="87"/>
  <c r="C4356" i="87"/>
  <c r="C5747" i="87"/>
  <c r="C5388" i="87"/>
  <c r="C4342" i="87"/>
  <c r="C4340" i="87"/>
  <c r="C5960" i="87"/>
  <c r="C4895" i="87"/>
  <c r="C5724" i="87"/>
  <c r="C4316" i="87"/>
  <c r="C5843" i="87"/>
  <c r="C4301" i="87"/>
  <c r="C5700" i="87"/>
  <c r="E5700" i="87"/>
  <c r="C5105" i="87"/>
  <c r="C5950" i="87"/>
  <c r="C5943" i="87"/>
  <c r="C5874" i="87"/>
  <c r="C5681" i="87"/>
  <c r="C5470" i="87"/>
  <c r="C5064" i="87"/>
  <c r="C5292" i="87"/>
  <c r="C6085" i="87"/>
  <c r="E6085" i="87"/>
  <c r="C5825" i="87"/>
  <c r="E5825" i="87"/>
  <c r="C5526" i="87"/>
  <c r="C5286" i="87"/>
  <c r="C5523" i="87"/>
  <c r="E5523" i="87"/>
  <c r="C5867" i="87"/>
  <c r="C5674"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40" i="87"/>
  <c r="C1438" i="87"/>
  <c r="C1436" i="87"/>
  <c r="C6427" i="87"/>
  <c r="C2670" i="87"/>
  <c r="C1428" i="87"/>
  <c r="C1426" i="87"/>
  <c r="C1422" i="87"/>
  <c r="C1420" i="87"/>
  <c r="C1410" i="87"/>
  <c r="C1404" i="87"/>
  <c r="C1416" i="87"/>
  <c r="C1414" i="87"/>
  <c r="C3009" i="87"/>
  <c r="C3335" i="87"/>
  <c r="C3334" i="87"/>
  <c r="C6644" i="87"/>
  <c r="C2785" i="87"/>
  <c r="C1327" i="87"/>
  <c r="C2954" i="87"/>
  <c r="C2952" i="87"/>
  <c r="C2780" i="87"/>
  <c r="C6402" i="87"/>
  <c r="C1295" i="87"/>
  <c r="C1321" i="87"/>
  <c r="C150" i="87"/>
  <c r="C1270" i="87"/>
  <c r="C2762" i="87"/>
  <c r="C1268" i="87"/>
  <c r="C6639" i="87"/>
  <c r="C2755" i="87"/>
  <c r="C1228" i="87"/>
  <c r="C2038" i="87"/>
  <c r="C4146" i="87"/>
  <c r="E4146" i="87"/>
  <c r="C2931" i="87"/>
  <c r="C2749" i="87"/>
  <c r="C6383" i="87"/>
  <c r="C1208" i="87"/>
  <c r="C1191" i="87"/>
  <c r="C1175" i="87"/>
  <c r="C1221" i="87"/>
  <c r="C1220" i="87"/>
  <c r="C146" i="87"/>
  <c r="C6635" i="87"/>
  <c r="C2740" i="87"/>
  <c r="C1091" i="87"/>
  <c r="C2031" i="87"/>
  <c r="C6437" i="87"/>
  <c r="C6364" i="87"/>
  <c r="C6360" i="87"/>
  <c r="C6356" i="87"/>
  <c r="C6436" i="87"/>
  <c r="C6350" i="87"/>
  <c r="C6346" i="87"/>
  <c r="C2025" i="87"/>
  <c r="C2920" i="87"/>
  <c r="C2918" i="87"/>
  <c r="C6332" i="87"/>
  <c r="C987" i="87"/>
  <c r="C871" i="87"/>
  <c r="C755" i="87"/>
  <c r="C1083" i="87"/>
  <c r="C1080" i="87"/>
  <c r="C6319" i="87"/>
  <c r="C805" i="87"/>
  <c r="C689" i="87"/>
  <c r="C1074" i="87"/>
  <c r="C1072" i="87"/>
  <c r="C913" i="87"/>
  <c r="C681" i="87"/>
  <c r="C1067" i="87"/>
  <c r="C6299" i="87"/>
  <c r="C910" i="87"/>
  <c r="C794" i="87"/>
  <c r="C678" i="87"/>
  <c r="C1064" i="87"/>
  <c r="C6291" i="87"/>
  <c r="C791" i="87"/>
  <c r="C675" i="87"/>
  <c r="C1061" i="87"/>
  <c r="C6284" i="87"/>
  <c r="C961" i="87"/>
  <c r="C1056" i="87"/>
  <c r="C6270" i="87"/>
  <c r="E6270" i="87"/>
  <c r="C954" i="87"/>
  <c r="E954" i="87"/>
  <c r="C838" i="87"/>
  <c r="E838" i="87"/>
  <c r="C664" i="87"/>
  <c r="E664" i="87"/>
  <c r="C6266" i="87"/>
  <c r="C6262" i="87"/>
  <c r="C6258" i="87"/>
  <c r="C6254" i="87"/>
  <c r="C6250" i="87"/>
  <c r="C6246" i="87"/>
  <c r="C3325" i="87"/>
  <c r="C6239" i="87"/>
  <c r="C1051" i="87"/>
  <c r="C104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5230" i="87"/>
  <c r="C4357" i="87"/>
  <c r="C4355" i="87"/>
  <c r="C5621" i="87"/>
  <c r="C5204" i="87"/>
  <c r="C4341" i="87"/>
  <c r="C4339" i="87"/>
  <c r="C5852" i="87"/>
  <c r="C6173" i="87"/>
  <c r="C4894" i="87"/>
  <c r="C5367" i="87"/>
  <c r="C4944" i="87"/>
  <c r="C4307" i="87"/>
  <c r="C5481" i="87"/>
  <c r="C5562" i="87"/>
  <c r="C5109" i="87"/>
  <c r="E5109" i="87"/>
  <c r="C5327" i="87"/>
  <c r="C5558" i="87"/>
  <c r="C6130" i="87"/>
  <c r="C5478" i="87"/>
  <c r="C5830" i="87"/>
  <c r="C5531" i="87"/>
  <c r="C5299" i="87"/>
  <c r="C5056" i="87"/>
  <c r="C5046" i="87"/>
  <c r="E5046" i="87"/>
  <c r="C5939" i="87"/>
  <c r="E5939" i="87"/>
  <c r="C5870" i="87"/>
  <c r="E5870" i="87"/>
  <c r="C5677" i="87"/>
  <c r="E5677" i="87"/>
  <c r="C5465" i="87"/>
  <c r="E5465" i="87"/>
  <c r="C5034" i="87"/>
  <c r="C5031" i="87"/>
  <c r="E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437" i="87"/>
  <c r="C1371" i="87"/>
  <c r="C1433" i="87"/>
  <c r="C6419" i="87"/>
  <c r="C1431" i="87"/>
  <c r="C1365" i="87"/>
  <c r="C1361"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979" i="87"/>
  <c r="C863" i="87"/>
  <c r="C747" i="87"/>
  <c r="C1073" i="87"/>
  <c r="C1071" i="87"/>
  <c r="C971" i="87"/>
  <c r="C739" i="87"/>
  <c r="C6300" i="87"/>
  <c r="C968" i="87"/>
  <c r="C852" i="87"/>
  <c r="C736" i="87"/>
  <c r="C6634" i="87"/>
  <c r="C6292" i="87"/>
  <c r="C965" i="87"/>
  <c r="C849" i="87"/>
  <c r="C733" i="87"/>
  <c r="C1062" i="87"/>
  <c r="C1060" i="87"/>
  <c r="C6283" i="87"/>
  <c r="C903" i="87"/>
  <c r="C787" i="87"/>
  <c r="C1057" i="87"/>
  <c r="C1055" i="87"/>
  <c r="C1053" i="87"/>
  <c r="C6269" i="87"/>
  <c r="E6269" i="87"/>
  <c r="C896" i="87"/>
  <c r="E896" i="87"/>
  <c r="C780" i="87"/>
  <c r="E780" i="87"/>
  <c r="C6268" i="87"/>
  <c r="C6264" i="87"/>
  <c r="C6260" i="87"/>
  <c r="C6256" i="87"/>
  <c r="C6252" i="87"/>
  <c r="C6248" i="87"/>
  <c r="C6244" i="87"/>
  <c r="C1044" i="87"/>
  <c r="C1038" i="87"/>
  <c r="C1050"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F5972" i="87" a="1"/>
  <c r="F1498" i="87" a="1"/>
  <c r="F7" i="87" a="1"/>
  <c r="F1435" i="87" a="1"/>
  <c r="F7115" i="87" a="1"/>
  <c r="F5714" i="87" a="1"/>
  <c r="F1069" i="87" a="1"/>
  <c r="F2734" i="87" a="1"/>
  <c r="F757" i="87" a="1"/>
  <c r="F3352" i="87" a="1"/>
  <c r="F6186" i="87" a="1"/>
  <c r="F4385" i="87" a="1"/>
  <c r="F8" i="87" a="1"/>
  <c r="F5966" i="87" a="1"/>
  <c r="F1474" i="87" a="1"/>
  <c r="F1425" i="87" a="1"/>
  <c r="F11" i="87" a="1"/>
  <c r="F1492" i="87" a="1"/>
  <c r="F7304" i="87" a="1"/>
  <c r="F7158" i="87" a="1"/>
  <c r="F4101" i="87" a="1"/>
  <c r="F1444" i="87" a="1"/>
  <c r="F6640" i="87" a="1"/>
  <c r="F5968" i="87" a="1"/>
  <c r="F6335" i="87" a="1"/>
  <c r="F5471" i="87" a="1"/>
  <c r="F5850" i="87" a="1"/>
  <c r="F989" i="87" a="1"/>
  <c r="F1429" i="87" a="1"/>
  <c r="F5657" i="87" a="1"/>
  <c r="F6636" i="87" a="1"/>
  <c r="F1210" i="87" a="1"/>
  <c r="F2033" i="87" a="1"/>
  <c r="F2774" i="87" a="1"/>
  <c r="F1452" i="87" a="1"/>
  <c r="F931" i="87" a="1"/>
  <c r="F10" i="87" a="1"/>
  <c r="F7207" i="87" a="1"/>
  <c r="F1059" i="87" a="1"/>
  <c r="F2502" i="87" a="1"/>
  <c r="F1432" i="87" a="1"/>
  <c r="F1290" i="87" a="1"/>
  <c r="F699" i="87" a="1"/>
  <c r="F9" i="87" a="1"/>
  <c r="F3353" i="87" a="1"/>
  <c r="F6407" i="87" a="1"/>
  <c r="F1193" i="87" a="1"/>
  <c r="F1202" i="87" a="1"/>
  <c r="F1296" i="87" a="1"/>
  <c r="F5969" i="87" a="1"/>
  <c r="F6170" i="87" a="1"/>
  <c r="F6125" i="87" a="1"/>
  <c r="F1216" i="87" a="1"/>
  <c r="F1303" i="87" a="1"/>
  <c r="F5588" i="87" a="1"/>
  <c r="F1077" i="87" a="1"/>
  <c r="F1390" i="87" a="1"/>
  <c r="F4160" i="87" a="1"/>
  <c r="F6" i="87" a="1"/>
  <c r="F5356" i="87" a="1"/>
  <c r="F1319" i="87" a="1"/>
  <c r="F1052" i="87" a="1"/>
  <c r="F3176" i="87" a="1"/>
  <c r="F5065" i="87" a="1"/>
  <c r="F1261" i="87" a="1"/>
  <c r="F5264" i="87" a="1"/>
  <c r="F1398" i="87" a="1"/>
  <c r="F2037" i="87" a="1"/>
  <c r="F2553" i="87" a="1"/>
  <c r="F4379" i="87" a="1"/>
  <c r="F3262" i="87" a="1"/>
  <c r="F1459" i="87" a="1"/>
  <c r="F3349" i="87" a="1"/>
  <c r="F2046" i="87" a="1"/>
  <c r="F1325" i="87" a="1"/>
  <c r="F5488" i="87" a="1"/>
  <c r="F991" i="87" a="1"/>
  <c r="F2781" i="87" a="1"/>
  <c r="F5970" i="87" a="1"/>
  <c r="F5958" i="87" a="1"/>
  <c r="F2032" i="87" a="1"/>
  <c r="F5532" i="87" a="1"/>
  <c r="F1468" i="87" a="1"/>
  <c r="F5807" i="87" a="1"/>
  <c r="F1066" i="87" a="1"/>
  <c r="F1418" i="87" a="1"/>
  <c r="F1331" i="87" a="1"/>
  <c r="F873" i="87" a="1"/>
  <c r="F5158" i="87" a="1"/>
  <c r="F6481" i="87" a="1"/>
  <c r="F5300" i="87" a="1"/>
  <c r="F1309" i="87" a="1"/>
  <c r="F1085" i="87" a="1"/>
  <c r="F1272" i="87" a="1"/>
  <c r="F1185" i="87" a="1"/>
  <c r="F1063" i="87" a="1"/>
  <c r="F2514" i="87" a="1"/>
  <c r="F1284" i="87" a="1"/>
  <c r="F6387" i="87" a="1"/>
  <c r="F7063" i="87" a="1"/>
  <c r="F1503" i="87" a="1"/>
  <c r="F815" i="87" a="1"/>
  <c r="F6406" i="87" a="1"/>
  <c r="F1480" i="87" a="1"/>
  <c r="F1486" i="87" a="1"/>
  <c r="F4378" i="87" a="1"/>
  <c r="F1253" i="87" a="1"/>
  <c r="F5445" i="87" a="1"/>
  <c r="F6386" i="87" a="1"/>
  <c r="F2034" i="87" a="1"/>
  <c r="F1177" i="87" a="1"/>
  <c r="F3350" i="87" a="1"/>
  <c r="F1169" i="87" a="1"/>
  <c r="F1223" i="87" a="1"/>
  <c r="F997" i="87" a="1"/>
  <c r="F6336" i="87" a="1"/>
  <c r="E3006" i="87" l="1"/>
  <c r="E1037" i="87"/>
  <c r="E3324" i="87"/>
  <c r="E1049" i="87"/>
  <c r="E1050" i="87"/>
  <c r="E6239" i="87"/>
  <c r="E1057" i="87"/>
  <c r="E1056" i="87"/>
  <c r="E1055" i="87"/>
  <c r="E787" i="87"/>
  <c r="E845" i="87"/>
  <c r="E1053" i="87"/>
  <c r="E791" i="87"/>
  <c r="E1062" i="87"/>
  <c r="E1061" i="87"/>
  <c r="E733" i="87"/>
  <c r="E1060" i="87"/>
  <c r="E675" i="87"/>
  <c r="E736" i="87"/>
  <c r="E968" i="87"/>
  <c r="E852" i="87"/>
  <c r="E794" i="87"/>
  <c r="E1064" i="87"/>
  <c r="E678" i="87"/>
  <c r="E971" i="87"/>
  <c r="E913" i="87"/>
  <c r="E739" i="87"/>
  <c r="E681" i="87"/>
  <c r="E1067" i="87"/>
  <c r="E1074" i="87"/>
  <c r="E979" i="87"/>
  <c r="E921" i="87"/>
  <c r="E863" i="87"/>
  <c r="E805" i="87"/>
  <c r="E1071" i="87"/>
  <c r="E1083" i="87"/>
  <c r="E813" i="87"/>
  <c r="E6350" i="87"/>
  <c r="E2920" i="87"/>
  <c r="E1441" i="87"/>
  <c r="E1440" i="87"/>
  <c r="E1380" i="87"/>
  <c r="E1437" i="87"/>
  <c r="E1433" i="87"/>
  <c r="E1431" i="87"/>
  <c r="E1427" i="87"/>
  <c r="E1426" i="87"/>
  <c r="E1365" i="87"/>
  <c r="E1361" i="87"/>
  <c r="E1420" i="87"/>
  <c r="E6415" i="87"/>
  <c r="E1416" i="87"/>
  <c r="E3009" i="87"/>
  <c r="E3335" i="87"/>
  <c r="E3334" i="87"/>
  <c r="E6409" i="87"/>
  <c r="E1314" i="87"/>
  <c r="E1321" i="87"/>
  <c r="E1208" i="87"/>
  <c r="E1191" i="87"/>
  <c r="E1175" i="87"/>
  <c r="E1220" i="87"/>
  <c r="E5278" i="87"/>
  <c r="E5230" i="87"/>
  <c r="E5169"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E1480" i="87" s="1"/>
  <c r="F1085" i="87"/>
  <c r="E1085" i="87" s="1"/>
  <c r="F1077" i="87"/>
  <c r="F1429" i="87"/>
  <c r="E1429" i="87" s="1"/>
  <c r="F1063" i="87"/>
  <c r="F1296" i="87"/>
  <c r="F1418" i="87"/>
  <c r="F1331" i="87"/>
  <c r="F2781" i="87"/>
  <c r="F1459" i="87"/>
  <c r="F1223" i="87"/>
  <c r="F2774" i="87"/>
  <c r="F1452" i="87"/>
  <c r="E1452" i="87" s="1"/>
  <c r="F1474" i="87"/>
  <c r="F6481" i="87"/>
  <c r="F2046" i="87"/>
  <c r="F1498" i="87"/>
  <c r="F1052" i="87"/>
  <c r="F1319" i="87"/>
  <c r="F1432" i="87"/>
  <c r="F1398" i="87"/>
  <c r="E1398" i="87" s="1"/>
  <c r="F1468" i="87"/>
  <c r="F11" i="87"/>
  <c r="E11" i="87" s="1"/>
  <c r="B1066" i="87"/>
  <c r="C1066" i="87" s="1"/>
  <c r="B1444" i="87"/>
  <c r="C1444" i="87" s="1"/>
  <c r="H14" i="73"/>
  <c r="H102" i="73" s="1"/>
  <c r="B4101" i="87"/>
  <c r="C4101" i="87" s="1"/>
  <c r="H128" i="73"/>
  <c r="B1486" i="87"/>
  <c r="C1486" i="87" s="1"/>
  <c r="B1480" i="87"/>
  <c r="B1085" i="87"/>
  <c r="B1077" i="87"/>
  <c r="C1077" i="87" s="1"/>
  <c r="B1429" i="87"/>
  <c r="B1063" i="87"/>
  <c r="C1063" i="87" s="1"/>
  <c r="B1296" i="87"/>
  <c r="B1223" i="87"/>
  <c r="B1452" i="87"/>
  <c r="H16" i="73"/>
  <c r="H104" i="73" s="1"/>
  <c r="B1319" i="87"/>
  <c r="B1432" i="87"/>
  <c r="B1468" i="87"/>
  <c r="C1468" i="87" s="1"/>
  <c r="F7115" i="87"/>
  <c r="F6" i="87"/>
  <c r="F2502" i="87"/>
  <c r="F7" i="87"/>
  <c r="F2553" i="87"/>
  <c r="F2514" i="87"/>
  <c r="F10" i="87"/>
  <c r="F9" i="87"/>
  <c r="F8" i="87"/>
  <c r="F7158" i="87"/>
  <c r="E7158" i="87" s="1"/>
  <c r="F7207" i="87"/>
  <c r="E7207" i="87" s="1"/>
  <c r="E6437" i="87"/>
  <c r="E1211" i="87"/>
  <c r="E7095" i="87"/>
  <c r="B7115" i="87"/>
  <c r="C7115" i="87" s="1"/>
  <c r="D103" i="73"/>
  <c r="B7158" i="87"/>
  <c r="B7207" i="87"/>
  <c r="F6407" i="87"/>
  <c r="F6406" i="87"/>
  <c r="E6406" i="87" s="1"/>
  <c r="B6406" i="87"/>
  <c r="F1309" i="87"/>
  <c r="B1309" i="87"/>
  <c r="C1309" i="87" s="1"/>
  <c r="F1303" i="87"/>
  <c r="F1290" i="87"/>
  <c r="F1325" i="87"/>
  <c r="F1284" i="87"/>
  <c r="B1284" i="87"/>
  <c r="F1253" i="87"/>
  <c r="F1261" i="87"/>
  <c r="F1272" i="87"/>
  <c r="B1272" i="87"/>
  <c r="F1216" i="87"/>
  <c r="F6640" i="87"/>
  <c r="B1216" i="87"/>
  <c r="K153" i="30"/>
  <c r="F2037" i="87"/>
  <c r="K143" i="30"/>
  <c r="F6636" i="87"/>
  <c r="F997" i="87"/>
  <c r="B6636" i="87"/>
  <c r="B997" i="87"/>
  <c r="F2033" i="87"/>
  <c r="B2033" i="87"/>
  <c r="F991" i="87"/>
  <c r="F2032" i="87"/>
  <c r="F1193" i="87"/>
  <c r="F6386" i="87"/>
  <c r="F1169" i="87"/>
  <c r="F1202" i="87"/>
  <c r="F1210" i="87"/>
  <c r="F1177" i="87"/>
  <c r="F6387" i="87"/>
  <c r="F1185" i="87"/>
  <c r="F155" i="30"/>
  <c r="B1169" i="87"/>
  <c r="B1202" i="87"/>
  <c r="B1210" i="87"/>
  <c r="C1210" i="87" s="1"/>
  <c r="B1177" i="87"/>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E3262" i="87" s="1"/>
  <c r="F3176" i="87"/>
  <c r="B7063" i="87"/>
  <c r="B3262" i="87"/>
  <c r="C117" i="73"/>
  <c r="C1368" i="87"/>
  <c r="E1368" i="87"/>
  <c r="C1272"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284" i="87"/>
  <c r="C1396" i="87"/>
  <c r="E1396" i="87"/>
  <c r="C1473" i="87"/>
  <c r="E1473" i="87"/>
  <c r="C6466" i="87"/>
  <c r="E6466" i="87"/>
  <c r="C4043" i="87"/>
  <c r="E4043" i="87"/>
  <c r="C3565" i="87"/>
  <c r="E3565" i="87"/>
  <c r="C1479" i="87"/>
  <c r="E1479" i="87"/>
  <c r="C1354" i="87"/>
  <c r="E1354" i="87"/>
  <c r="C1497" i="87"/>
  <c r="E1497" i="87"/>
  <c r="C3579" i="87"/>
  <c r="E3579" i="87"/>
  <c r="C1480" i="87"/>
  <c r="C4385" i="87"/>
  <c r="C4160" i="87"/>
  <c r="C6666" i="87"/>
  <c r="E6666" i="87"/>
  <c r="C5966" i="87"/>
  <c r="C6759" i="87"/>
  <c r="E6759" i="87"/>
  <c r="C6909" i="87"/>
  <c r="E6909" i="87"/>
  <c r="C1085" i="87"/>
  <c r="C3577" i="87"/>
  <c r="E3577" i="87"/>
  <c r="C6012" i="87"/>
  <c r="E6012" i="87"/>
  <c r="C3261" i="87"/>
  <c r="E3261" i="87"/>
  <c r="C722" i="87"/>
  <c r="E722" i="87"/>
  <c r="C729" i="87"/>
  <c r="E729" i="87"/>
  <c r="C1200" i="87"/>
  <c r="E1200" i="87"/>
  <c r="C7214" i="87"/>
  <c r="E7214" i="87"/>
  <c r="C7125" i="87"/>
  <c r="E7125" i="87"/>
  <c r="C11" i="87"/>
  <c r="C12" i="87"/>
  <c r="E12" i="87"/>
  <c r="C1429" i="87"/>
  <c r="C907" i="87"/>
  <c r="E907" i="87"/>
  <c r="C1435" i="87"/>
  <c r="C1491" i="87"/>
  <c r="E1491" i="87"/>
  <c r="C1296" i="87"/>
  <c r="C6003" i="87"/>
  <c r="E6003" i="87"/>
  <c r="C3528" i="87"/>
  <c r="E3528" i="87"/>
  <c r="C3175" i="87"/>
  <c r="E3175" i="87"/>
  <c r="C7124" i="87"/>
  <c r="E7124" i="87"/>
  <c r="C7164" i="87"/>
  <c r="E7164" i="87"/>
  <c r="C7213" i="87"/>
  <c r="E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7147" i="87"/>
  <c r="E7147" i="87"/>
  <c r="C2033" i="87"/>
  <c r="C1223" i="87"/>
  <c r="C6665" i="87"/>
  <c r="E6665" i="87"/>
  <c r="C1452" i="87"/>
  <c r="C3584" i="87"/>
  <c r="E3584" i="87"/>
  <c r="C2541" i="87"/>
  <c r="E2541" i="87"/>
  <c r="C2930" i="87"/>
  <c r="E2930" i="87"/>
  <c r="C6406" i="87"/>
  <c r="C3600" i="87"/>
  <c r="E3600" i="87"/>
  <c r="C1467" i="87"/>
  <c r="E1467" i="87"/>
  <c r="C3593" i="87"/>
  <c r="E3593" i="87"/>
  <c r="C6636" i="87"/>
  <c r="C1169" i="87"/>
  <c r="C7084" i="87"/>
  <c r="E7084" i="87"/>
  <c r="C3196" i="87"/>
  <c r="E3196" i="87"/>
  <c r="C1492" i="87"/>
  <c r="C1183" i="87"/>
  <c r="E1183" i="87"/>
  <c r="C1308" i="87"/>
  <c r="E1308" i="87"/>
  <c r="C5696" i="87"/>
  <c r="E5696" i="87"/>
  <c r="C5714" i="87"/>
  <c r="C5445" i="87"/>
  <c r="C6186" i="87"/>
  <c r="C5501" i="87"/>
  <c r="E5501" i="87"/>
  <c r="C5958" i="87"/>
  <c r="C1485" i="87"/>
  <c r="E1485" i="87"/>
  <c r="C7165" i="87"/>
  <c r="E7165" i="87"/>
  <c r="C4100" i="87"/>
  <c r="E4100" i="87"/>
  <c r="C1202" i="87"/>
  <c r="C7102" i="87"/>
  <c r="E7102" i="87"/>
  <c r="C7158" i="87"/>
  <c r="C7207" i="87"/>
  <c r="C1216" i="87"/>
  <c r="C156" i="87"/>
  <c r="E156" i="87"/>
  <c r="C1319" i="87"/>
  <c r="C1177" i="87"/>
  <c r="C7123" i="87"/>
  <c r="E7123" i="87"/>
  <c r="C7212" i="87"/>
  <c r="E7212" i="87"/>
  <c r="C7064" i="87"/>
  <c r="E7064" i="87"/>
  <c r="C3181" i="87"/>
  <c r="E3181" i="87"/>
  <c r="C3198" i="87"/>
  <c r="E3198" i="87"/>
  <c r="C3242" i="87"/>
  <c r="E3242" i="87"/>
  <c r="C3530" i="87"/>
  <c r="E3530" i="87"/>
  <c r="C7195" i="87"/>
  <c r="E7195" i="87"/>
  <c r="C7063" i="87"/>
  <c r="C7145" i="87"/>
  <c r="E7145" i="87"/>
  <c r="C7103" i="87"/>
  <c r="E7103" i="87"/>
  <c r="C7146" i="87"/>
  <c r="E7146" i="87"/>
  <c r="C7194" i="87"/>
  <c r="E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998" i="87" a="1"/>
  <c r="F1226" i="87" a="1"/>
  <c r="F2575" i="87" a="1"/>
  <c r="F3169" i="87" a="1"/>
  <c r="F4388" i="87" a="1"/>
  <c r="F7322" i="87" a="1"/>
  <c r="F7319" i="87" a="1"/>
  <c r="F6370" i="87" a="1"/>
  <c r="F2555" i="87" a="1"/>
  <c r="F1095" i="87" a="1"/>
  <c r="F7058" i="87" a="1"/>
  <c r="F5597" i="87" a="1"/>
  <c r="F1203" i="87" a="1"/>
  <c r="F6369" i="87" a="1"/>
  <c r="F7157" i="87" a="1"/>
  <c r="F5496" i="87" a="1"/>
  <c r="F6187" i="87" a="1"/>
  <c r="F6390" i="87" a="1"/>
  <c r="F1217" i="87" a="1"/>
  <c r="F4955" i="87" a="1"/>
  <c r="F2600" i="87" a="1"/>
  <c r="F5365" i="87" a="1"/>
  <c r="F2540" i="87" a="1"/>
  <c r="F7047" i="87" a="1"/>
  <c r="F7315" i="87" a="1"/>
  <c r="F1170" i="87" a="1"/>
  <c r="F3263" i="87" a="1"/>
  <c r="F7316" i="87" a="1"/>
  <c r="F7137" i="87" a="1"/>
  <c r="F5722" i="87" a="1"/>
  <c r="F1194" i="87" a="1"/>
  <c r="F7318" i="87" a="1"/>
  <c r="F1454" i="87" a="1"/>
  <c r="F5890" i="87" a="1"/>
  <c r="F817" i="87" a="1"/>
  <c r="F5967" i="87" a="1"/>
  <c r="F7156" i="87" a="1"/>
  <c r="F107" i="87" a="1"/>
  <c r="F7069" i="87" a="1"/>
  <c r="F7129" i="87" a="1"/>
  <c r="F1087" i="87" a="1"/>
  <c r="F1178" i="87" a="1"/>
  <c r="F1262" i="87" a="1"/>
  <c r="F7140" i="87" a="1"/>
  <c r="F701" i="87" a="1"/>
  <c r="F7097" i="87" a="1"/>
  <c r="F875" i="87" a="1"/>
  <c r="F1186" i="87" a="1"/>
  <c r="F1320" i="87" a="1"/>
  <c r="F2535" i="87" a="1"/>
  <c r="F5858" i="87" a="1"/>
  <c r="F2603" i="87" a="1"/>
  <c r="F2605" i="87" a="1"/>
  <c r="F2500" i="87" a="1"/>
  <c r="F2495" i="87" a="1"/>
  <c r="F3518" i="87" a="1"/>
  <c r="F7317" i="87" a="1"/>
  <c r="F7118" i="87" a="1"/>
  <c r="F2543" i="87" a="1"/>
  <c r="F7079" i="87" a="1"/>
  <c r="F7055" i="87" a="1"/>
  <c r="F2508" i="87" a="1"/>
  <c r="F5167" i="87" a="1"/>
  <c r="F1225" i="87" a="1"/>
  <c r="F2574" i="87" a="1"/>
  <c r="F7175" i="87" a="1"/>
  <c r="F1504" i="87" a="1"/>
  <c r="F7065" i="87" a="1"/>
  <c r="F2599" i="87" a="1"/>
  <c r="F2551" i="87" a="1"/>
  <c r="F7321" i="87" a="1"/>
  <c r="F5986" i="87" a="1"/>
  <c r="F5813" i="87" a="1"/>
  <c r="F4387" i="87" a="1"/>
  <c r="F759" i="87" a="1"/>
  <c r="F2516" i="87" a="1"/>
  <c r="F5988" i="87" a="1"/>
  <c r="F5987" i="87" a="1"/>
  <c r="F3513" i="87" a="1"/>
  <c r="F3514" i="87" a="1"/>
  <c r="F1297" i="87" a="1"/>
  <c r="F7320" i="87" a="1"/>
  <c r="F7186" i="87" a="1"/>
  <c r="F1275" i="87" a="1"/>
  <c r="F7076" i="87" a="1"/>
  <c r="F5976" i="87" a="1"/>
  <c r="F6391" i="87" a="1"/>
  <c r="F7108" i="87" a="1"/>
  <c r="F1326" i="87" a="1"/>
  <c r="F1089" i="87" a="1"/>
  <c r="F5663" i="87" a="1"/>
  <c r="F3662" i="87" a="1"/>
  <c r="F933" i="87" a="1"/>
  <c r="F5451" i="87" a="1"/>
  <c r="F2604" i="87" a="1"/>
  <c r="F2547" i="87" a="1"/>
  <c r="F5270" i="87" a="1"/>
  <c r="F1392" i="87" a="1"/>
  <c r="F1231" i="87" a="1"/>
  <c r="E1063" i="87" l="1"/>
  <c r="E1066" i="87"/>
  <c r="E1077" i="87"/>
  <c r="E1309" i="87"/>
  <c r="E1202" i="87"/>
  <c r="E1177" i="87"/>
  <c r="E122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E7079" i="87" s="1"/>
  <c r="F7118" i="87"/>
  <c r="E7118" i="87" s="1"/>
  <c r="F7140" i="87"/>
  <c r="E7140" i="87" s="1"/>
  <c r="F7137" i="87"/>
  <c r="E7137" i="87" s="1"/>
  <c r="F7055" i="87"/>
  <c r="E7055" i="87" s="1"/>
  <c r="F7058" i="87"/>
  <c r="E7058" i="87" s="1"/>
  <c r="F2605" i="87"/>
  <c r="F7157" i="87"/>
  <c r="F7097" i="87"/>
  <c r="E7097" i="87" s="1"/>
  <c r="F7156" i="87"/>
  <c r="F2500" i="87"/>
  <c r="F7076" i="87"/>
  <c r="F105" i="73"/>
  <c r="B7186" i="87"/>
  <c r="C7186" i="87" s="1"/>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D128" i="73"/>
  <c r="B1170" i="87"/>
  <c r="D131" i="73"/>
  <c r="F6370" i="87"/>
  <c r="F7322" i="87"/>
  <c r="B7322" i="87"/>
  <c r="C7322" i="87" s="1"/>
  <c r="F7321" i="87"/>
  <c r="F6369" i="87"/>
  <c r="B7321" i="87"/>
  <c r="F998" i="87"/>
  <c r="F7320" i="87"/>
  <c r="B7320" i="87"/>
  <c r="C7320" i="87" s="1"/>
  <c r="F7319" i="87"/>
  <c r="F933" i="87"/>
  <c r="B7319" i="87"/>
  <c r="C7319" i="87" s="1"/>
  <c r="C128" i="73"/>
  <c r="L128" i="73" s="1"/>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B1461" i="87" s="1"/>
  <c r="F1089" i="87"/>
  <c r="F817" i="87"/>
  <c r="F7317" i="87"/>
  <c r="B817" i="87"/>
  <c r="C817" i="87" s="1"/>
  <c r="I13" i="103"/>
  <c r="C3" i="103" s="1"/>
  <c r="C53" i="76" s="1"/>
  <c r="B7317" i="87"/>
  <c r="C7317" i="87" s="1"/>
  <c r="F2495" i="87"/>
  <c r="C93" i="73"/>
  <c r="F7065" i="87"/>
  <c r="F107" i="87"/>
  <c r="E107" i="87" s="1"/>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7086" i="87"/>
  <c r="E7086"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7104" i="87"/>
  <c r="E7104" i="87"/>
  <c r="C3205" i="87"/>
  <c r="E3205" i="87"/>
  <c r="C8" i="87"/>
  <c r="E8" i="87"/>
  <c r="C1052" i="87"/>
  <c r="E1052" i="87"/>
  <c r="C2603" i="87"/>
  <c r="C7079" i="87"/>
  <c r="C7118" i="87"/>
  <c r="C7140" i="87"/>
  <c r="C7137" i="87"/>
  <c r="C7055" i="87"/>
  <c r="C7058" i="87"/>
  <c r="C2574" i="87"/>
  <c r="C3353" i="87"/>
  <c r="E3353" i="87"/>
  <c r="C989" i="87"/>
  <c r="E989" i="87"/>
  <c r="C1170" i="87"/>
  <c r="C6040" i="87"/>
  <c r="E6040" i="87"/>
  <c r="C3240" i="87"/>
  <c r="E3240" i="87"/>
  <c r="C699" i="87"/>
  <c r="E699"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2542" i="87" a="1"/>
  <c r="F2578" i="87" a="1"/>
  <c r="F1232" i="87" a="1"/>
  <c r="F1332" i="87" a="1"/>
  <c r="F2498" i="87" a="1"/>
  <c r="F7206" i="87" a="1"/>
  <c r="F7159" i="87" a="1"/>
  <c r="F1096" i="87" a="1"/>
  <c r="F7128" i="87" a="1"/>
  <c r="F7198" i="87" a="1"/>
  <c r="F7135" i="87" a="1"/>
  <c r="F7117" i="87" a="1"/>
  <c r="F3170" i="87" a="1"/>
  <c r="F7323" i="87" a="1"/>
  <c r="F7091" i="87" a="1"/>
  <c r="F7181" i="87" a="1"/>
  <c r="F7046" i="87" a="1"/>
  <c r="F2602" i="87" a="1"/>
  <c r="F7170" i="87" a="1"/>
  <c r="F1461" i="87" a="1"/>
  <c r="F2601" i="87" a="1"/>
  <c r="F7168" i="87" a="1"/>
  <c r="F7114" i="87" a="1"/>
  <c r="F5814" i="87" a="1"/>
  <c r="F6057" i="87" a="1"/>
  <c r="F7090" i="87" a="1"/>
  <c r="F5271" i="87" a="1"/>
  <c r="F111" i="87" a="1"/>
  <c r="F3516" i="87" a="1"/>
  <c r="F7169" i="87" a="1"/>
  <c r="F6616" i="87" a="1"/>
  <c r="F7189" i="87" a="1"/>
  <c r="F4085" i="87" a="1"/>
  <c r="F2503" i="87" a="1"/>
  <c r="F2501" i="87" a="1"/>
  <c r="F7150" i="87" a="1"/>
  <c r="F7176" i="87" a="1"/>
  <c r="F5452" i="87" a="1"/>
  <c r="F7068" i="87" a="1"/>
  <c r="F3625" i="87" a="1"/>
  <c r="F7199" i="87" a="1"/>
  <c r="F2549" i="87" a="1"/>
  <c r="F7179" i="87" a="1"/>
  <c r="F2515" i="87" a="1"/>
  <c r="F2510" i="87" a="1"/>
  <c r="F7107" i="87" a="1"/>
  <c r="F3515" i="87" a="1"/>
  <c r="F7180" i="87" a="1"/>
  <c r="F2538" i="87" a="1"/>
  <c r="F7078" i="87" a="1"/>
  <c r="F7138" i="87" a="1"/>
  <c r="F7151" i="87" a="1"/>
  <c r="F7843" i="87" a="1"/>
  <c r="F2537" i="87" a="1"/>
  <c r="F5989" i="87" a="1"/>
  <c r="F2511" i="87" a="1"/>
  <c r="F7139" i="87" a="1"/>
  <c r="F7089" i="87" a="1"/>
  <c r="F2548" i="87" a="1"/>
  <c r="F1276" i="87" a="1"/>
  <c r="F5664" i="87" a="1"/>
  <c r="F7280" i="87" a="1"/>
  <c r="F96" i="87" a="1"/>
  <c r="F2504" i="87" a="1"/>
  <c r="F2576" i="87" a="1"/>
  <c r="F5859" i="87" a="1"/>
  <c r="F7152" i="87" a="1"/>
  <c r="F7200" i="87" a="1"/>
  <c r="F2497" i="87" a="1"/>
  <c r="F2513" i="87" a="1"/>
  <c r="F2552" i="87" a="1"/>
  <c r="E2500" i="87" l="1"/>
  <c r="E5663" i="87"/>
  <c r="F132" i="73"/>
  <c r="E1170" i="87"/>
  <c r="E1178" i="87"/>
  <c r="E7320" i="87"/>
  <c r="L124" i="73"/>
  <c r="E817" i="87"/>
  <c r="E7319" i="87"/>
  <c r="E7321" i="87"/>
  <c r="E7317" i="87"/>
  <c r="F7200" i="87"/>
  <c r="F7181" i="87"/>
  <c r="E7181" i="87" s="1"/>
  <c r="B7181" i="87"/>
  <c r="F7170" i="87"/>
  <c r="E7170" i="87" s="1"/>
  <c r="B7170" i="87"/>
  <c r="C7170" i="87" s="1"/>
  <c r="F7152" i="87"/>
  <c r="E7152" i="87" s="1"/>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B7159" i="87"/>
  <c r="B7135" i="87"/>
  <c r="C7135" i="87" s="1"/>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D107" i="73" s="1"/>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F7323" i="87"/>
  <c r="F2503" i="87"/>
  <c r="F1096" i="87"/>
  <c r="B7323" i="87"/>
  <c r="C7323" i="87" s="1"/>
  <c r="C104" i="73"/>
  <c r="B1096" i="87"/>
  <c r="C1096" i="87" s="1"/>
  <c r="F7843" i="87"/>
  <c r="F7046" i="87"/>
  <c r="F5271" i="87"/>
  <c r="B7046" i="87"/>
  <c r="C7046" i="87" s="1"/>
  <c r="F7176" i="87"/>
  <c r="F7280" i="87"/>
  <c r="F111" i="87"/>
  <c r="E111" i="87" s="1"/>
  <c r="B7176" i="87"/>
  <c r="C7176" i="87" s="1"/>
  <c r="B111" i="87"/>
  <c r="E7065" i="87"/>
  <c r="C1089" i="87"/>
  <c r="E1089" i="87"/>
  <c r="C1461" i="87"/>
  <c r="C3616" i="87"/>
  <c r="E3616" i="87"/>
  <c r="C1275" i="87"/>
  <c r="E1275" i="87"/>
  <c r="C3587" i="87"/>
  <c r="E3587" i="87"/>
  <c r="C3573" i="87"/>
  <c r="E3573" i="87"/>
  <c r="C875" i="87"/>
  <c r="E875" i="87"/>
  <c r="C408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E11" i="97"/>
  <c r="E30" i="97"/>
  <c r="H11"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F2556" i="87" a="1"/>
  <c r="F7077" i="87" a="1"/>
  <c r="F2539" i="87" a="1"/>
  <c r="F7191" i="87" a="1"/>
  <c r="F92" i="87" a="1"/>
  <c r="F7171" i="87" a="1"/>
  <c r="F4074" i="87" a="1"/>
  <c r="F7153" i="87" a="1"/>
  <c r="F7075" i="87" a="1"/>
  <c r="F2544" i="87" a="1"/>
  <c r="F1333" i="87" a="1"/>
  <c r="F7049" i="87" a="1"/>
  <c r="F1277" i="87" a="1"/>
  <c r="F4072" i="87" a="1"/>
  <c r="F7131" i="87" a="1"/>
  <c r="F7285" i="87" a="1"/>
  <c r="F7271" i="87" a="1"/>
  <c r="F7070" i="87" a="1"/>
  <c r="F7080" i="87" a="1"/>
  <c r="F7204" i="87" a="1"/>
  <c r="F7282" i="87" a="1"/>
  <c r="F7324" i="87" a="1"/>
  <c r="F2606" i="87" a="1"/>
  <c r="F7056" i="87" a="1"/>
  <c r="F2579" i="87" a="1"/>
  <c r="F7071" i="87" a="1"/>
  <c r="F7161" i="87" a="1"/>
  <c r="F7096" i="87" a="1"/>
  <c r="F2512" i="87" a="1"/>
  <c r="F4071" i="87" a="1"/>
  <c r="F1233" i="87" a="1"/>
  <c r="F2550" i="87" a="1"/>
  <c r="F82" i="87" a="1"/>
  <c r="F7294" i="87" a="1"/>
  <c r="F5995" i="87" a="1"/>
  <c r="F4084" i="87" a="1"/>
  <c r="F47" i="87" a="1"/>
  <c r="F127" i="87" a="1"/>
  <c r="F100" i="87" a="1"/>
  <c r="F1462" i="87" a="1"/>
  <c r="F7130" i="87" a="1"/>
  <c r="F7289" i="87" a="1"/>
  <c r="F7110" i="87" a="1"/>
  <c r="F2517" i="87" a="1"/>
  <c r="F7182" i="87" a="1"/>
  <c r="F7201" i="87" a="1"/>
  <c r="F7054" i="87" a="1"/>
  <c r="F7116" i="87" a="1"/>
  <c r="F7092" i="87" a="1"/>
  <c r="F49" i="87" a="1"/>
  <c r="F7057" i="87" a="1"/>
  <c r="F7109" i="87" a="1"/>
  <c r="F5996" i="87" a="1"/>
  <c r="F7240" i="87" a="1"/>
  <c r="F4068" i="87" a="1"/>
  <c r="F3267" i="87" a="1"/>
  <c r="F1097" i="87" a="1"/>
  <c r="F3171" i="87" a="1"/>
  <c r="F7136" i="87" a="1"/>
  <c r="F1505" i="87" a="1"/>
  <c r="F7267" i="87" a="1"/>
  <c r="F7048" i="87" a="1"/>
  <c r="F102" i="87" a="1"/>
  <c r="F2505" i="87" a="1"/>
  <c r="F6043" i="87" a="1"/>
  <c r="F6061" i="87" a="1"/>
  <c r="F94" i="87" a="1"/>
  <c r="F125" i="87" a="1"/>
  <c r="F2499" i="87" a="1"/>
  <c r="F5991" i="87" a="1"/>
  <c r="E1276" i="87" l="1"/>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B7161" i="87"/>
  <c r="E7114" i="87"/>
  <c r="F2544" i="87"/>
  <c r="F13" i="97"/>
  <c r="F20" i="97" s="1"/>
  <c r="F7096" i="87"/>
  <c r="F2579" i="87"/>
  <c r="E13" i="97"/>
  <c r="F7077" i="87"/>
  <c r="B7077" i="87"/>
  <c r="C7077" i="87" s="1"/>
  <c r="F7057" i="87"/>
  <c r="B7057" i="87"/>
  <c r="C7057" i="87" s="1"/>
  <c r="F2517" i="87"/>
  <c r="F7080" i="87"/>
  <c r="F7075" i="87"/>
  <c r="B7080" i="87"/>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94" i="87"/>
  <c r="F7285" i="87"/>
  <c r="F94"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1233" i="87"/>
  <c r="C2602" i="87"/>
  <c r="E2602" i="87"/>
  <c r="C3515" i="87"/>
  <c r="E3515" i="87"/>
  <c r="C2538" i="87"/>
  <c r="E2538" i="87"/>
  <c r="C2552" i="87"/>
  <c r="E2552" i="87"/>
  <c r="C7080"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E12" i="97"/>
  <c r="B49" i="87"/>
  <c r="E20" i="9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7082" i="87" a="1"/>
  <c r="F2557" i="87" a="1"/>
  <c r="F7155" i="87" a="1"/>
  <c r="F30" i="87" a="1"/>
  <c r="F7177" i="87" a="1"/>
  <c r="F7296" i="87" a="1"/>
  <c r="F7119" i="87" a="1"/>
  <c r="F78" i="87" a="1"/>
  <c r="F7141" i="87" a="1"/>
  <c r="F66" i="87" a="1"/>
  <c r="F7287" i="87" a="1"/>
  <c r="F4081" i="87" a="1"/>
  <c r="F64" i="87" a="1"/>
  <c r="F105" i="87" a="1"/>
  <c r="F4070" i="87" a="1"/>
  <c r="F7173" i="87" a="1"/>
  <c r="F2518" i="87" a="1"/>
  <c r="F2580" i="87" a="1"/>
  <c r="F128" i="87" a="1"/>
  <c r="F7192" i="87" a="1"/>
  <c r="F50" i="87" a="1"/>
  <c r="F4067" i="87" a="1"/>
  <c r="F13" i="87" a="1"/>
  <c r="F4083" i="87" a="1"/>
  <c r="F7162" i="87" a="1"/>
  <c r="F7264" i="87" a="1"/>
  <c r="F61" i="87" a="1"/>
  <c r="F1644" i="87" a="1"/>
  <c r="F95" i="87" a="1"/>
  <c r="F6041" i="87" a="1"/>
  <c r="F18" i="87" a="1"/>
  <c r="F7242" i="87" a="1"/>
  <c r="F7203" i="87" a="1"/>
  <c r="F7291" i="87" a="1"/>
  <c r="F59" i="87" a="1"/>
  <c r="F51" i="87" a="1"/>
  <c r="F7184" i="87" a="1"/>
  <c r="F7262" i="87" a="1"/>
  <c r="F2506" i="87" a="1"/>
  <c r="F7276" i="87" a="1"/>
  <c r="F7072" i="87" a="1"/>
  <c r="F4069" i="87" a="1"/>
  <c r="F4082" i="87" a="1"/>
  <c r="F35" i="87" a="1"/>
  <c r="F7132" i="87" a="1"/>
  <c r="F7273" i="87" a="1"/>
  <c r="F2545" i="87" a="1"/>
  <c r="F7098" i="87" a="1"/>
  <c r="F7172" i="87" a="1"/>
  <c r="F90" i="87" a="1"/>
  <c r="F7094" i="87" a="1"/>
  <c r="F6055" i="87" a="1"/>
  <c r="F7111" i="87" a="1"/>
  <c r="F76" i="87" a="1"/>
  <c r="F4080" i="87" a="1"/>
  <c r="F4066" i="87" a="1"/>
  <c r="F7269" i="87" a="1"/>
  <c r="F7244" i="87" a="1"/>
  <c r="E125" i="87" l="1"/>
  <c r="F30" i="97"/>
  <c r="B7249" i="87" s="1"/>
  <c r="F34" i="97"/>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82" i="87"/>
  <c r="E1333" i="87"/>
  <c r="F4083" i="87"/>
  <c r="F7119" i="87"/>
  <c r="F76" i="87"/>
  <c r="F66" i="87"/>
  <c r="B4083" i="87"/>
  <c r="B7119" i="87"/>
  <c r="C7119" i="87" s="1"/>
  <c r="B76" i="87"/>
  <c r="B66" i="87"/>
  <c r="F59" i="87"/>
  <c r="F51" i="87"/>
  <c r="F4082" i="87"/>
  <c r="F7244" i="87"/>
  <c r="F7098" i="87"/>
  <c r="E1277" i="87"/>
  <c r="B51" i="87"/>
  <c r="B4082" i="87"/>
  <c r="B7098" i="87"/>
  <c r="C7098" i="87" s="1"/>
  <c r="E7077" i="87"/>
  <c r="E7324" i="87"/>
  <c r="E1233" i="87"/>
  <c r="E7080" i="87"/>
  <c r="E49" i="87"/>
  <c r="E127" i="87"/>
  <c r="F4081" i="87"/>
  <c r="F35" i="87"/>
  <c r="F7082" i="87"/>
  <c r="B4081" i="87"/>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90" i="87"/>
  <c r="F2557" i="87"/>
  <c r="F7264" i="87"/>
  <c r="E7264" i="87" s="1"/>
  <c r="F7141" i="87"/>
  <c r="F7262" i="87"/>
  <c r="E7262" i="87" s="1"/>
  <c r="B90" i="87"/>
  <c r="C90" i="87" s="1"/>
  <c r="G81" i="73"/>
  <c r="B1630" i="87" s="1"/>
  <c r="B7264" i="87"/>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E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4081" i="87"/>
  <c r="C2499" i="87"/>
  <c r="E2499" i="87"/>
  <c r="C2512" i="87"/>
  <c r="E2512" i="87"/>
  <c r="C2544" i="87"/>
  <c r="E2544" i="87"/>
  <c r="C4083" i="87"/>
  <c r="C4082" i="87"/>
  <c r="C2539" i="87"/>
  <c r="E2539" i="87"/>
  <c r="C7264"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B7253"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58" i="87" a="1"/>
  <c r="F1588" i="87" a="1"/>
  <c r="F7235" i="87" a="1"/>
  <c r="F7143" i="87" a="1"/>
  <c r="F16" i="87" a="1"/>
  <c r="F7251" i="87" a="1"/>
  <c r="F6056" i="87" a="1"/>
  <c r="F7292" i="87" a="1"/>
  <c r="F7074" i="87" a="1"/>
  <c r="F7249" i="87" a="1"/>
  <c r="F60" i="87" a="1"/>
  <c r="F33" i="87" a="1"/>
  <c r="F7166" i="87" a="1"/>
  <c r="F1574" i="87" a="1"/>
  <c r="F1630" i="87" a="1"/>
  <c r="F7100" i="87" a="1"/>
  <c r="F106" i="87" a="1"/>
  <c r="F7278" i="87" a="1"/>
  <c r="F7122" i="87" a="1"/>
  <c r="F7113" i="87" a="1"/>
  <c r="F28" i="87" a="1"/>
  <c r="F6062" i="87" a="1"/>
  <c r="F7255" i="87" a="1"/>
  <c r="F7144" i="87" a="1"/>
  <c r="F7270" i="87" a="1"/>
  <c r="F7231" i="87" a="1"/>
  <c r="F7274" i="87" a="1"/>
  <c r="F7246" i="87" a="1"/>
  <c r="F7196" i="87" a="1"/>
  <c r="F7121" i="87" a="1"/>
  <c r="F7243" i="87" a="1"/>
  <c r="F7288" i="87" a="1"/>
  <c r="F7297" i="87" a="1"/>
  <c r="F45" i="87" a="1"/>
  <c r="F7083" i="87" a="1"/>
  <c r="F7253" i="87" a="1"/>
  <c r="F101" i="87" a="1"/>
  <c r="F65" i="87" a="1"/>
  <c r="F7101" i="87" a="1"/>
  <c r="F7134" i="87" a="1"/>
  <c r="F80" i="87" a="1"/>
  <c r="F7226" i="87" a="1"/>
  <c r="F1616" i="87" a="1"/>
  <c r="F1602" i="87" a="1"/>
  <c r="F7222" i="87" a="1"/>
  <c r="E76" i="87" l="1"/>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B7255" i="87"/>
  <c r="C7255" i="87" s="1"/>
  <c r="E66" i="87"/>
  <c r="C66" i="87"/>
  <c r="E7098" i="87"/>
  <c r="F7246" i="87"/>
  <c r="F7100" i="87"/>
  <c r="B7100" i="87"/>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251" i="87"/>
  <c r="F7134" i="87"/>
  <c r="F7122" i="87"/>
  <c r="F7288" i="87"/>
  <c r="E7288" i="87" s="1"/>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10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53" i="87"/>
  <c r="C7244" i="87"/>
  <c r="E7244" i="87"/>
  <c r="C7121" i="87"/>
  <c r="C7243"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247" i="87" a="1"/>
  <c r="F34" i="87" a="1"/>
  <c r="F7252" i="87" a="1"/>
  <c r="F7148" i="87" a="1"/>
  <c r="F7066" i="87" a="1"/>
  <c r="F7087" i="87" a="1"/>
  <c r="F7233" i="87" a="1"/>
  <c r="F77" i="87" a="1"/>
  <c r="F7260" i="87" a="1"/>
  <c r="F7105" i="87" a="1"/>
  <c r="F17" i="87" a="1"/>
  <c r="F7237" i="87" a="1"/>
  <c r="F7279" i="87" a="1"/>
  <c r="F7126" i="87" a="1"/>
  <c r="F81" i="87" a="1"/>
  <c r="F112" i="87" a="1"/>
  <c r="E65" i="87" l="1"/>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050" i="87" a="1"/>
  <c r="F7261" i="87" a="1"/>
  <c r="F7283" i="87" a="1"/>
  <c r="F91" i="87" a="1"/>
  <c r="F7234" i="87" a="1"/>
  <c r="F46" i="87" a="1"/>
  <c r="F29" i="87" a="1"/>
  <c r="F7053" i="87" a="1"/>
  <c r="F7256"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38" i="87" a="1"/>
  <c r="F7052" i="87" a="1"/>
  <c r="F7265" i="87" a="1"/>
  <c r="F7224" i="87" a="1"/>
  <c r="F7059"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225" i="87" a="1"/>
  <c r="F7061" i="87" a="1"/>
  <c r="F3517" i="87" a="1"/>
  <c r="F7062" i="87" a="1"/>
  <c r="F7228"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29" i="87" a="1"/>
  <c r="F351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129" i="87" a="1"/>
  <c r="F7208" i="87" a="1"/>
  <c r="F3520" i="87" a="1"/>
  <c r="F4088" i="87" a="1"/>
  <c r="F4088" i="87" l="1"/>
  <c r="F129" i="87"/>
  <c r="F7208" i="87"/>
  <c r="B4088" i="87"/>
  <c r="B129" i="87"/>
  <c r="C129" i="87" s="1"/>
  <c r="B7208" i="87"/>
  <c r="F3520" i="87"/>
  <c r="K81" i="73"/>
  <c r="B3535" i="87" s="1"/>
  <c r="E7229" i="87"/>
  <c r="C4088" i="87"/>
  <c r="C7205" i="87"/>
  <c r="E7205" i="87"/>
  <c r="C3519" i="87"/>
  <c r="E3519" i="87"/>
  <c r="C7208" i="87"/>
  <c r="K109" i="73"/>
  <c r="K110" i="73"/>
  <c r="K20" i="97"/>
  <c r="K34" i="97"/>
  <c r="B3520" i="87"/>
  <c r="F3535" i="87" a="1"/>
  <c r="F7210" i="87" a="1"/>
  <c r="F7298" i="87" a="1"/>
  <c r="F136" i="87" a="1"/>
  <c r="F7211" i="87" a="1"/>
  <c r="K118" i="73" l="1"/>
  <c r="E7208" i="87"/>
  <c r="E129" i="87"/>
  <c r="E4088" i="87"/>
  <c r="F136" i="87"/>
  <c r="F7210" i="87"/>
  <c r="F7298" i="87"/>
  <c r="B7210" i="87"/>
  <c r="F3535" i="87"/>
  <c r="E3535" i="87" s="1"/>
  <c r="F7211" i="87"/>
  <c r="B7215" i="87"/>
  <c r="C7215" i="87" s="1"/>
  <c r="C3535" i="87"/>
  <c r="C3520" i="87"/>
  <c r="E3520" i="87"/>
  <c r="C7210" i="87"/>
  <c r="B7211" i="87"/>
  <c r="K36" i="97"/>
  <c r="B7298" i="87"/>
  <c r="K21" i="97"/>
  <c r="B136" i="87"/>
  <c r="F7300" i="87" a="1"/>
  <c r="F7215"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<sst xmlns="http://schemas.openxmlformats.org/spreadsheetml/2006/main" count="18069" uniqueCount="7262">
  <si>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</si>
  <si>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</si>
  <si>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</si>
  <si>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</si>
  <si>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</si>
  <si>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</si>
  <si>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</si>
  <si>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</si>
  <si>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</si>
  <si>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</si>
  <si>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</si>
  <si>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</si>
  <si>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</si>
  <si>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</si>
  <si>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</si>
  <si>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</si>
  <si>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</si>
  <si>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</si>
  <si>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</si>
  <si>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</si>
  <si>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</si>
  <si>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</si>
  <si>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</si>
  <si>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</si>
  <si>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</si>
  <si>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</si>
  <si>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</si>
  <si>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</si>
  <si>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</si>
  <si>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</si>
  <si>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</si>
  <si>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</si>
  <si>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</si>
  <si>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</si>
  <si>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</si>
  <si>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</si>
  <si>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</si>
  <si>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</si>
  <si>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</si>
  <si>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</si>
  <si>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</si>
  <si>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</si>
  <si>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</si>
  <si>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</si>
  <si>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</si>
  <si>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</si>
  <si>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</si>
  <si>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</si>
  <si>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</si>
  <si>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</si>
  <si>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</si>
  <si>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</si>
  <si>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</si>
  <si>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</si>
  <si>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</si>
  <si>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</si>
  <si>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</si>
  <si>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</si>
  <si>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</si>
  <si>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</si>
  <si>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</si>
  <si>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</si>
  <si>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</si>
  <si>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</si>
  <si>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</si>
  <si>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</si>
  <si>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</si>
  <si>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</si>
  <si>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</si>
  <si>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</si>
  <si>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</si>
  <si>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</si>
  <si>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</si>
  <si>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</si>
  <si>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</si>
  <si>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</si>
  <si>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</si>
  <si>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</si>
  <si>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</si>
  <si>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</si>
  <si>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</si>
  <si>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</si>
  <si>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</si>
  <si>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</si>
  <si>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</si>
  <si>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</si>
  <si>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</si>
  <si>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</si>
  <si>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</si>
  <si>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</si>
  <si>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</si>
  <si>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</si>
  <si>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</si>
  <si>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</si>
  <si>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</si>
  <si>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</si>
  <si>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</si>
  <si>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</si>
  <si>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</si>
  <si>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</si>
  <si>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</si>
  <si>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</si>
  <si>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</si>
  <si>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</si>
  <si>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</si>
  <si>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</si>
  <si>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</si>
  <si>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</si>
  <si>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</si>
  <si>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</si>
  <si>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</si>
  <si>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</si>
  <si>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</si>
  <si>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</si>
  <si>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</si>
  <si>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</si>
  <si>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</si>
  <si>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</si>
  <si>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</si>
  <si>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</si>
  <si>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</si>
  <si>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</si>
  <si>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</si>
  <si>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</si>
  <si>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</si>
  <si>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</si>
  <si>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</si>
  <si>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</si>
  <si>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</si>
  <si>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</si>
  <si>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</si>
  <si>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</si>
  <si>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</si>
  <si>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</si>
  <si>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</si>
  <si>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</si>
  <si>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</si>
  <si>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</si>
  <si>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</si>
  <si>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</si>
  <si>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</si>
  <si>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</si>
  <si>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</si>
  <si>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</si>
  <si>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</si>
  <si>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</si>
  <si>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</si>
  <si>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</si>
  <si>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</si>
  <si>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</si>
  <si>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</si>
  <si>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</si>
  <si>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</si>
  <si>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</si>
  <si>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</si>
  <si>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</si>
  <si>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</si>
  <si>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</si>
  <si>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</si>
  <si>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</si>
  <si>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</si>
  <si>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</si>
  <si>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</si>
  <si>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</si>
  <si>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</si>
  <si>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</si>
  <si>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</si>
  <si>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</si>
  <si>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</si>
  <si>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</si>
  <si>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</si>
  <si>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</si>
  <si>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</si>
  <si>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</si>
  <si>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</si>
  <si>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</si>
  <si>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</si>
  <si>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</si>
  <si>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</si>
  <si>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</si>
  <si>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</si>
  <si>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</si>
  <si>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</si>
  <si>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</si>
  <si>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</si>
  <si>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</si>
  <si>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</si>
  <si>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</si>
  <si>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</si>
  <si>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</si>
  <si>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</si>
  <si>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</si>
  <si>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</si>
  <si>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</si>
  <si>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</si>
  <si>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</si>
  <si>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</si>
  <si>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</si>
  <si>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</si>
  <si>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</si>
  <si>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</si>
  <si>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</si>
  <si>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</si>
  <si>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</si>
  <si>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</si>
  <si>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</si>
  <si>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</si>
  <si>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</si>
  <si>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</si>
  <si>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</si>
  <si>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</si>
  <si>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</si>
  <si>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</si>
  <si>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</si>
  <si>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</si>
  <si>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</si>
  <si>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</si>
  <si>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</si>
  <si>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</si>
  <si>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</si>
  <si>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</si>
  <si>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</si>
  <si>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</si>
  <si>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</si>
  <si>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</si>
  <si>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</si>
  <si>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</si>
  <si>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</si>
  <si>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</si>
  <si>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</si>
  <si>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</si>
  <si>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</si>
  <si>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</si>
  <si>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</si>
  <si>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</si>
  <si>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</si>
  <si>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</si>
  <si>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</si>
  <si>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</si>
  <si>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</si>
  <si>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</si>
  <si>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</si>
  <si>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</si>
  <si>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</si>
  <si>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</si>
  <si>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</si>
  <si>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</si>
  <si>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</si>
  <si>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</si>
  <si>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</si>
  <si>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</si>
  <si>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</si>
  <si>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</si>
  <si>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</si>
  <si>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</si>
  <si>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</si>
  <si>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</si>
  <si>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</si>
  <si>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</si>
  <si>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</si>
  <si>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</si>
  <si>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</si>
  <si>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</si>
  <si>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</si>
  <si>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</si>
  <si>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</si>
  <si>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</si>
  <si>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</si>
  <si>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</si>
  <si>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</si>
  <si>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</si>
  <si>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</si>
  <si>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</si>
  <si>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</si>
  <si>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</si>
  <si>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</si>
  <si>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</si>
  <si>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</si>
  <si>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</si>
  <si>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</si>
  <si>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</si>
  <si>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</si>
  <si>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</si>
  <si>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</si>
  <si>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</si>
  <si>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</si>
  <si>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</si>
  <si>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</si>
  <si>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</si>
  <si>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</si>
  <si>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</si>
  <si>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</si>
  <si>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</si>
  <si>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</si>
  <si>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</si>
  <si>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</si>
  <si>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</si>
  <si>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</si>
  <si>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</si>
  <si>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</si>
  <si>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</si>
  <si>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</si>
  <si>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</si>
  <si>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</si>
  <si>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</si>
  <si>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</si>
  <si>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</si>
  <si>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</si>
  <si>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</si>
  <si>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</si>
  <si>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</si>
  <si>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</si>
  <si>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</si>
  <si>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</si>
  <si>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</si>
  <si>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</si>
  <si>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</si>
  <si>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</si>
  <si>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</si>
  <si>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</si>
  <si>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</si>
  <si>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</si>
  <si>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</si>
  <si>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</si>
  <si>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</si>
  <si>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</si>
  <si>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</si>
  <si>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</si>
  <si>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</si>
  <si>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</si>
  <si>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</si>
  <si>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</si>
  <si>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</si>
  <si>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</si>
  <si>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</si>
  <si>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</si>
  <si>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</si>
  <si>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</si>
  <si>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</si>
  <si>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</si>
  <si>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</si>
  <si>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</si>
  <si>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</si>
  <si>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</si>
  <si>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</si>
  <si>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</si>
  <si>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</si>
  <si>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</si>
  <si>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</si>
  <si>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</si>
  <si>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</si>
  <si>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</si>
  <si>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</si>
  <si>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</si>
  <si>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</si>
  <si>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</si>
  <si>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</si>
  <si>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</si>
  <si>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</si>
  <si>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</si>
  <si>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</si>
  <si>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</si>
  <si>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</si>
  <si>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</si>
  <si>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</si>
  <si>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</si>
  <si>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</si>
  <si>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</si>
  <si>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</si>
  <si>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</si>
  <si>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</si>
  <si>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</si>
  <si>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</si>
  <si>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</si>
  <si>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</si>
  <si>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</si>
  <si>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</si>
  <si>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</si>
  <si>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</si>
  <si>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</si>
  <si>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</si>
  <si>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</si>
  <si>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</si>
  <si>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</si>
  <si>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</si>
  <si>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</si>
  <si>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</si>
  <si>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</si>
  <si>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</si>
  <si>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</si>
  <si>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</si>
  <si>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</si>
  <si>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</si>
  <si>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</si>
  <si>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</si>
  <si>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</si>
  <si>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</si>
  <si>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</si>
  <si>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</si>
  <si>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</si>
  <si>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</si>
  <si>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</si>
  <si>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</si>
  <si>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</si>
  <si>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</si>
  <si>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</si>
  <si>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</si>
  <si>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</si>
  <si>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</si>
  <si>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</si>
  <si>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</si>
  <si>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</si>
  <si>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</si>
  <si>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</si>
  <si>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</si>
  <si>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</si>
  <si>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</si>
  <si>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</si>
  <si>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</si>
  <si>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</si>
  <si>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</si>
  <si>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</si>
  <si>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</si>
  <si>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</si>
  <si>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</si>
  <si>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</si>
  <si>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</si>
  <si>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</si>
  <si>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</si>
  <si>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</si>
  <si>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</si>
  <si>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</si>
  <si>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</si>
  <si>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</si>
  <si>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</si>
  <si>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</si>
  <si>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</si>
  <si>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</si>
  <si>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</si>
  <si>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</si>
  <si>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</si>
  <si>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</si>
  <si>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</si>
  <si>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</si>
  <si>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</si>
  <si>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</si>
  <si>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</si>
  <si>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</si>
  <si>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</si>
  <si>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</si>
  <si>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</si>
  <si>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</si>
  <si>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</si>
  <si>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</si>
  <si>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</si>
  <si>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</si>
  <si>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</si>
  <si>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</si>
  <si>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</si>
  <si>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</si>
  <si>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</si>
  <si>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</si>
  <si>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</si>
  <si>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</si>
  <si>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</si>
  <si>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</si>
  <si>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</si>
  <si>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</si>
  <si>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</si>
  <si>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</si>
  <si>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</si>
  <si>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</si>
  <si>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</si>
  <si>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</si>
  <si>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</si>
  <si>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</si>
  <si>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</si>
  <si>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</si>
  <si>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</si>
  <si>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</si>
  <si>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</si>
  <si>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</si>
  <si>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</si>
  <si>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</si>
  <si>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</si>
  <si>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</si>
  <si>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</si>
  <si>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</si>
  <si>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</si>
  <si>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</si>
  <si>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</si>
  <si>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</si>
  <si>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</si>
  <si>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</si>
  <si>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</si>
  <si>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</si>
  <si>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</si>
  <si>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</si>
  <si>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</si>
  <si>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</si>
  <si>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</si>
  <si>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</si>
  <si>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</si>
  <si>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</si>
  <si>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</si>
  <si>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</si>
  <si>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</si>
  <si>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</si>
  <si>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</si>
  <si>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</si>
  <si>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</si>
  <si>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</si>
  <si>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</si>
  <si>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</si>
  <si>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</si>
  <si>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</si>
  <si>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</si>
  <si>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</si>
  <si>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</si>
  <si>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</si>
  <si>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</si>
  <si>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</si>
  <si>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</si>
  <si>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</si>
  <si>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</si>
  <si>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</si>
  <si>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</si>
  <si>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</si>
  <si>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</si>
  <si>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</si>
  <si>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</si>
  <si>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</si>
  <si>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</si>
  <si>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</si>
  <si>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</si>
  <si>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</si>
  <si>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</si>
  <si>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</si>
  <si>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</si>
  <si>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</si>
  <si>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</si>
  <si>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</si>
  <si>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</si>
  <si>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</si>
  <si>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</si>
  <si>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</si>
  <si>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</si>
  <si>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</si>
  <si>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</si>
  <si>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</si>
  <si>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</si>
  <si>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</si>
  <si>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</si>
  <si>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</si>
  <si>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</si>
  <si>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</si>
  <si>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</si>
  <si>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</si>
  <si>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</si>
  <si>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</si>
  <si>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</si>
  <si>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</si>
  <si>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</si>
  <si>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</si>
  <si>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</si>
  <si>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</si>
  <si>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</si>
  <si>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</si>
  <si>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</si>
  <si>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</si>
  <si>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</si>
  <si>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</si>
  <si>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</si>
  <si>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</si>
  <si>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</si>
  <si>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</si>
  <si>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</si>
  <si>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</si>
  <si>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</si>
  <si>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</si>
  <si>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</si>
  <si>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</si>
  <si>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</si>
  <si>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</si>
  <si>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</si>
  <si>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</si>
  <si>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</si>
  <si>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</si>
  <si>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</si>
  <si>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</si>
  <si>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</si>
  <si>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</si>
  <si>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</si>
  <si>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</si>
  <si>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</si>
  <si>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</si>
  <si>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</si>
  <si>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</si>
  <si>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</si>
  <si>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</si>
  <si>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</si>
  <si>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</si>
  <si>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</si>
  <si>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</si>
  <si>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</si>
  <si>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</si>
  <si>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</si>
  <si>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</si>
  <si>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</si>
  <si>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</si>
  <si>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</si>
  <si>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</si>
  <si>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</si>
  <si>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</si>
  <si>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</si>
  <si>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</si>
  <si>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</si>
  <si>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</si>
  <si>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</si>
  <si>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</si>
  <si>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</si>
  <si>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</si>
  <si>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</si>
  <si>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</si>
  <si>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</si>
  <si>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</si>
  <si>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</si>
  <si>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</si>
  <si>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</si>
  <si>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</si>
  <si>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</si>
  <si>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</si>
  <si>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</si>
  <si>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</si>
  <si>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</si>
  <si>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</si>
  <si>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</si>
  <si>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</si>
  <si>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</si>
  <si>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</si>
  <si>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</si>
  <si>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</si>
  <si>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</si>
  <si>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</si>
  <si>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</si>
  <si>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</si>
  <si>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</si>
  <si>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</si>
  <si>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</si>
  <si>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</si>
  <si>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</si>
  <si>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</si>
  <si>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</si>
  <si>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</si>
  <si>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</si>
  <si>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</si>
  <si>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</si>
  <si>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</si>
  <si>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</si>
  <si>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</si>
  <si>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</si>
  <si>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</si>
  <si>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</si>
  <si>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</si>
  <si>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</si>
  <si>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</si>
  <si>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</si>
  <si>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</si>
  <si>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</si>
  <si>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</si>
  <si>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</si>
  <si>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</si>
  <si>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</si>
  <si>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</si>
  <si>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</si>
  <si>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</si>
  <si>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</si>
  <si>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</si>
  <si>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</si>
  <si>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</si>
  <si>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</si>
  <si>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</si>
  <si>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</si>
  <si>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</si>
  <si>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</si>
  <si>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</si>
  <si>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</si>
  <si>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</si>
  <si>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</si>
  <si>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</si>
  <si>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</si>
  <si>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</si>
  <si>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</si>
  <si>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</si>
  <si>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</si>
  <si>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</si>
  <si>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</si>
  <si>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</si>
  <si>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</si>
  <si>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</si>
  <si>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</si>
  <si>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</si>
  <si>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</si>
  <si>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</si>
  <si>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</si>
  <si>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</si>
  <si>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</si>
  <si>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</si>
  <si>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</si>
  <si>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</si>
  <si>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</si>
  <si>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</si>
  <si>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</si>
  <si>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</si>
  <si>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</si>
  <si>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</si>
  <si>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</si>
  <si>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</si>
  <si>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</si>
  <si>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</si>
  <si>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</si>
  <si>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</si>
  <si>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</si>
  <si>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</si>
  <si>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</si>
  <si>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</si>
  <si>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</si>
  <si>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</si>
  <si>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</si>
  <si>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</si>
  <si>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</si>
  <si>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</si>
  <si>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</si>
  <si>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</si>
  <si>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</si>
  <si>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</si>
  <si>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</si>
  <si>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</si>
  <si>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</si>
  <si>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</si>
  <si>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</si>
  <si>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</si>
  <si>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</si>
  <si>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</si>
  <si>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</si>
  <si>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</si>
  <si>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</si>
  <si>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</si>
  <si>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</si>
  <si>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</si>
  <si>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</si>
  <si>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</si>
  <si>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</si>
  <si>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</si>
  <si>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</si>
  <si>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</si>
  <si>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</si>
  <si>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</si>
  <si>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</si>
  <si>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</si>
  <si>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</si>
  <si>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</si>
  <si>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</si>
  <si>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</si>
  <si>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</si>
  <si>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</si>
  <si>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</si>
  <si>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</si>
  <si>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</si>
  <si>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</si>
  <si>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</si>
  <si>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</si>
  <si>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</si>
  <si>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</si>
  <si>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</si>
  <si>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</si>
  <si>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</si>
  <si>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</si>
  <si>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</si>
  <si>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</si>
  <si>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</si>
  <si>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</si>
  <si>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</si>
  <si>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</si>
  <si>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</si>
  <si>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</si>
  <si>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</si>
  <si>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</si>
  <si>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</si>
  <si>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</si>
  <si>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</si>
  <si>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</si>
  <si>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</si>
  <si>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</si>
  <si>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</si>
  <si>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</si>
  <si>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</si>
  <si>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</si>
  <si>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</si>
  <si>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</si>
  <si>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</si>
  <si>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</si>
  <si>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</si>
  <si>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</si>
  <si>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</si>
  <si>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</si>
  <si>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</si>
  <si>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</si>
  <si>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</si>
  <si>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</si>
  <si>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</si>
  <si>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</si>
  <si>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</si>
  <si>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</si>
  <si>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</si>
  <si>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</si>
  <si>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</si>
  <si>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</si>
  <si>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</si>
  <si>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</si>
  <si>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</si>
  <si>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</si>
  <si>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</si>
  <si>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</si>
  <si>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</si>
  <si>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</si>
  <si>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</si>
  <si>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</si>
  <si>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</si>
  <si>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</si>
  <si>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</si>
  <si>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</si>
  <si>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</si>
  <si>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</si>
  <si>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</si>
  <si>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</si>
  <si>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</si>
  <si>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</si>
  <si>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</si>
  <si>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</si>
  <si>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</si>
  <si>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</si>
  <si>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</si>
  <si>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</si>
  <si>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</si>
  <si>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</si>
  <si>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</si>
  <si>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</si>
  <si>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</si>
  <si>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</si>
  <si>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</si>
  <si>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</si>
  <si>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</si>
  <si>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</si>
  <si>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</si>
  <si>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</si>
  <si>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</si>
  <si>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</si>
  <si>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</si>
  <si>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</si>
  <si>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</si>
  <si>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</si>
  <si>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</si>
  <si>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</si>
  <si>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</si>
  <si>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</si>
  <si>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</si>
  <si>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</si>
  <si>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</si>
  <si>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</si>
  <si>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</si>
  <si>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</si>
  <si>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</si>
  <si>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</si>
  <si>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</si>
  <si>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</si>
  <si>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</si>
  <si>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</si>
  <si>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</si>
  <si>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</si>
  <si>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</si>
  <si>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</si>
  <si>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</si>
  <si>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</si>
  <si>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</si>
  <si>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</si>
  <si>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</si>
  <si>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</si>
  <si>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</si>
  <si>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</si>
  <si>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</si>
  <si>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</si>
  <si>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</si>
  <si>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</si>
  <si>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</si>
  <si>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</si>
  <si>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</si>
  <si>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</si>
  <si>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</si>
  <si>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</si>
  <si>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</si>
  <si>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</si>
  <si>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</si>
  <si>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</si>
  <si>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</si>
  <si>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</si>
  <si>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</si>
  <si>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</si>
  <si>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</si>
  <si>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</si>
  <si>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</si>
  <si>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</si>
  <si>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</si>
  <si>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</si>
  <si>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</si>
  <si>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</si>
  <si>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</si>
  <si>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</si>
  <si>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</si>
  <si>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</si>
  <si>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</si>
  <si>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</si>
  <si>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</si>
  <si>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</si>
  <si>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</si>
  <si>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</si>
  <si>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</si>
  <si>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</si>
  <si>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</si>
  <si>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</si>
  <si>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</si>
  <si>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</si>
  <si>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</si>
  <si>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</si>
  <si>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</si>
  <si>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</si>
  <si>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</si>
  <si>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</si>
  <si>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</si>
  <si>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</si>
  <si>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</si>
  <si>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</si>
  <si>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</si>
  <si>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</si>
  <si>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</si>
  <si>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</si>
  <si>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</si>
  <si>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</si>
  <si>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</si>
  <si>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</si>
  <si>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</si>
  <si>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</si>
  <si>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</si>
  <si>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</si>
  <si>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</si>
  <si>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</si>
  <si>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</si>
  <si>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</si>
  <si>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</si>
  <si>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</si>
  <si>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</si>
  <si>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</si>
  <si>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</si>
  <si>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</si>
  <si>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</si>
  <si>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</si>
  <si>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</si>
  <si>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</si>
  <si>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</si>
  <si>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</si>
  <si>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</si>
  <si>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</si>
  <si>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</si>
  <si>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</si>
  <si>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</si>
  <si>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</si>
  <si>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</si>
  <si>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</si>
  <si>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</si>
  <si>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</si>
  <si>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</si>
  <si>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</si>
  <si>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</si>
  <si>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</si>
  <si>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</si>
  <si>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</si>
  <si>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</si>
  <si>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</si>
  <si>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</si>
  <si>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</si>
  <si>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</si>
  <si>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</si>
  <si>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</si>
  <si>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</si>
  <si>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</si>
  <si>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</si>
  <si>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</si>
  <si>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</si>
  <si>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</si>
  <si>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</si>
  <si>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</si>
  <si>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</si>
  <si>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</si>
  <si>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</si>
  <si>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</si>
  <si>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</si>
  <si>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</si>
  <si>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</si>
  <si>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</si>
  <si>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</si>
  <si>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</si>
  <si>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</si>
  <si>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</si>
  <si>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</si>
  <si>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</si>
  <si>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</si>
  <si>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</si>
  <si>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</si>
  <si>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</si>
  <si>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</si>
  <si>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</si>
  <si>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</si>
  <si>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</si>
  <si>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</si>
  <si>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</si>
  <si>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</si>
  <si>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</si>
  <si>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</si>
  <si>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</si>
  <si>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</si>
  <si>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</si>
  <si>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</si>
  <si>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</si>
  <si>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</si>
  <si>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</si>
  <si>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</si>
  <si>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</si>
  <si>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</si>
  <si>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</si>
  <si>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</si>
  <si>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</si>
  <si>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</si>
  <si>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</si>
  <si>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</si>
  <si>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</si>
  <si>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</si>
  <si>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</si>
  <si>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</si>
  <si>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</si>
  <si>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</si>
  <si>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</si>
  <si>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</si>
  <si>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</si>
  <si>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</si>
  <si>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</si>
  <si>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</si>
  <si>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</si>
  <si>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</si>
  <si>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</si>
  <si>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</si>
  <si>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</si>
  <si>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</si>
  <si>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</si>
  <si>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</si>
  <si>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</si>
  <si>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</si>
  <si>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</si>
  <si>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</si>
  <si>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</si>
  <si>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</si>
  <si>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</si>
  <si>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</si>
  <si>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</si>
  <si>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</si>
  <si>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</si>
  <si>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</si>
  <si>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</si>
  <si>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</si>
  <si>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</si>
  <si>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</si>
  <si>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</si>
  <si>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</si>
  <si>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</si>
  <si>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</si>
  <si>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</si>
  <si>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</si>
  <si>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</si>
  <si>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</si>
  <si>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</si>
  <si>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</si>
  <si>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</si>
  <si>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</si>
  <si>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</si>
  <si>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</si>
  <si>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</si>
  <si>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</si>
  <si>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</si>
  <si>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</si>
  <si>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</si>
  <si>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</si>
  <si>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</si>
  <si>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</si>
  <si>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</si>
  <si>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</si>
  <si>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</si>
  <si>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</si>
  <si>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</si>
  <si>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</si>
  <si>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</si>
  <si>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</si>
  <si>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</si>
  <si>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</si>
  <si>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</si>
  <si>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</si>
  <si>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</si>
  <si>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</si>
  <si>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</si>
  <si>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</si>
  <si>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</si>
  <si>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</si>
  <si>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</si>
  <si>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</si>
  <si>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</si>
  <si>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</si>
  <si>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</si>
  <si>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</si>
  <si>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</si>
  <si>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</si>
  <si>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</si>
  <si>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</si>
  <si>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</si>
  <si>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</si>
  <si>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</si>
  <si>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</si>
  <si>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</si>
  <si>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</si>
  <si>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</si>
  <si>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</si>
  <si>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</si>
  <si>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</si>
  <si>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</si>
  <si>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</si>
  <si>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</si>
  <si>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</si>
  <si>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</si>
  <si>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</si>
  <si>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</si>
  <si>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</si>
  <si>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</si>
  <si>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</si>
  <si>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</si>
  <si>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</si>
  <si>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</si>
  <si>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</si>
  <si>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</si>
  <si>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</si>
  <si>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</si>
  <si>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</si>
  <si>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</si>
  <si>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</si>
  <si>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</si>
  <si>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</si>
  <si>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</si>
  <si>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</si>
  <si>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</si>
  <si>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</si>
  <si>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</si>
  <si>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</si>
  <si>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</si>
  <si>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</si>
  <si>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</si>
  <si>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</si>
  <si>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</si>
  <si>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</si>
  <si>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</si>
  <si>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</si>
  <si>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</si>
  <si>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</si>
  <si>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</si>
  <si>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</si>
  <si>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</si>
  <si>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</si>
  <si>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</si>
  <si>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</si>
  <si>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</si>
  <si>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</si>
  <si>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</si>
  <si>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</si>
  <si>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</si>
  <si>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</si>
  <si>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</si>
  <si>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</si>
  <si>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</si>
  <si>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</si>
  <si>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</si>
  <si>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</si>
  <si>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</si>
  <si>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</si>
  <si>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</si>
  <si>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</si>
  <si>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</si>
  <si>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</si>
  <si>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</si>
  <si>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</si>
  <si>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</si>
  <si>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</si>
  <si>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</si>
  <si>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</si>
  <si>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</si>
  <si>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</si>
  <si>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</si>
  <si>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</si>
  <si>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</si>
  <si>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</si>
  <si>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</si>
  <si>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</si>
  <si>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</si>
  <si>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</si>
  <si>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</si>
  <si>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</si>
  <si>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</si>
  <si>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</si>
  <si>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</si>
  <si>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</si>
  <si>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</si>
  <si>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</si>
  <si>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</si>
  <si>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</si>
  <si>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</si>
  <si>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</si>
  <si>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</si>
  <si>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</si>
  <si>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</si>
  <si>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</si>
  <si>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</si>
  <si>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</si>
  <si>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</si>
  <si>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</si>
  <si>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</si>
  <si>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</si>
  <si>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</si>
  <si>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</si>
  <si>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</si>
  <si>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</si>
  <si>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</si>
  <si>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</si>
  <si>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</si>
  <si>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</si>
  <si>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</si>
  <si>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</si>
  <si>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</si>
  <si>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</si>
  <si>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</si>
  <si>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</si>
  <si>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</si>
  <si>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</si>
  <si>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</si>
  <si>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</si>
  <si>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</si>
  <si>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</si>
  <si>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</si>
  <si>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</si>
  <si>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</si>
  <si>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</si>
  <si>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</si>
  <si>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</si>
  <si>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</si>
  <si>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</si>
  <si>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</si>
  <si>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</si>
  <si>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</si>
  <si>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</si>
  <si>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</si>
  <si>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</si>
  <si>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</si>
  <si>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</si>
  <si>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</si>
  <si>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</si>
  <si>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</si>
  <si>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</si>
  <si>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</si>
  <si>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</si>
  <si>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</si>
  <si>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</si>
  <si>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</si>
  <si>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</si>
  <si>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</si>
  <si>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</si>
  <si>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</si>
  <si>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</si>
  <si>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</si>
  <si>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</si>
  <si>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</si>
  <si>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</si>
  <si>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</si>
  <si>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</si>
  <si>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</si>
  <si>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</si>
  <si>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</si>
  <si>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</si>
  <si>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</si>
  <si>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</si>
  <si>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</si>
  <si>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</si>
  <si>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</si>
  <si>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</si>
  <si>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</si>
  <si>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</si>
  <si>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</si>
  <si>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</si>
  <si>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</si>
  <si>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</si>
  <si>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</si>
  <si>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</si>
  <si>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</si>
  <si>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</si>
  <si>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</si>
  <si>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</si>
  <si>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</si>
  <si>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</si>
  <si>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</si>
  <si>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</si>
  <si>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</si>
  <si>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</si>
  <si>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</si>
  <si>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</si>
  <si>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</si>
  <si>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</si>
  <si>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</si>
  <si>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</si>
  <si>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</si>
  <si>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</si>
  <si>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</si>
  <si>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</si>
  <si>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</si>
  <si>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</si>
  <si>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</si>
  <si>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</si>
  <si>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</si>
  <si>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</si>
  <si>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</si>
  <si>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</si>
  <si>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</si>
  <si>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</si>
  <si>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</si>
  <si>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</si>
  <si>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</si>
  <si>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</si>
  <si>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</si>
  <si>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</si>
  <si>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</si>
  <si>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</si>
  <si>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</si>
  <si>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</si>
  <si>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</si>
  <si>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</si>
  <si>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</si>
  <si>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</si>
  <si>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</si>
  <si>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</si>
  <si>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</si>
  <si>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</si>
  <si>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</si>
  <si>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</si>
  <si>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</si>
  <si>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</si>
  <si>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</si>
  <si>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</si>
  <si>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</si>
  <si>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</si>
  <si>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</si>
  <si>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</si>
  <si>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</si>
  <si>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</si>
  <si>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</si>
  <si>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</si>
  <si>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</si>
  <si>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</si>
  <si>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</si>
  <si>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</si>
  <si>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</si>
  <si>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</si>
  <si>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</si>
  <si>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</si>
  <si>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</si>
  <si>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</si>
  <si>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</si>
  <si>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</si>
  <si>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</si>
  <si>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</si>
  <si>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</si>
  <si>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</si>
  <si>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</si>
  <si>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</si>
  <si>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</si>
  <si>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</si>
  <si>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</si>
  <si>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</si>
  <si>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</si>
  <si>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</si>
  <si>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</si>
  <si>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</si>
  <si>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</si>
  <si>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</si>
  <si>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</si>
  <si>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</si>
  <si>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</si>
  <si>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</si>
  <si>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</si>
  <si>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</si>
  <si>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</si>
  <si>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</si>
  <si>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</si>
  <si>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</si>
  <si>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</si>
  <si>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</si>
  <si>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</si>
  <si>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</si>
  <si>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</si>
  <si>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</si>
  <si>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</si>
  <si>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</si>
  <si>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</si>
  <si>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</si>
  <si>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</si>
  <si>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</si>
  <si>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</si>
  <si>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</si>
  <si>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</si>
  <si>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</si>
  <si>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</si>
  <si>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</si>
  <si>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</si>
  <si>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</si>
  <si>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</si>
  <si>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</si>
  <si>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</si>
  <si>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</si>
  <si>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</si>
  <si>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</si>
  <si>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</si>
  <si>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</si>
  <si>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</si>
  <si>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</si>
  <si>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</si>
  <si>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</si>
  <si>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</si>
  <si>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</si>
  <si>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</si>
  <si>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</si>
  <si>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</si>
  <si>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</si>
  <si>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</si>
  <si>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</si>
  <si>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</si>
  <si>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</si>
  <si>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</si>
  <si>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</si>
  <si>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</si>
  <si>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</si>
  <si>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</si>
  <si>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</si>
  <si>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</si>
  <si>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</si>
  <si>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</si>
  <si>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</si>
  <si>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</si>
  <si>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</si>
  <si>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</si>
  <si>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</si>
  <si>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</si>
  <si>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</si>
  <si>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</si>
  <si>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</si>
  <si>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</si>
  <si>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</si>
  <si>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</si>
  <si>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</si>
  <si>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</si>
  <si>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</si>
  <si>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</si>
  <si>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</si>
  <si>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</si>
  <si>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</si>
  <si>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</si>
  <si>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</si>
  <si>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</si>
  <si>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</si>
  <si>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</si>
  <si>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</si>
  <si>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</si>
  <si>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</si>
  <si>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</si>
  <si>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</si>
  <si>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</si>
  <si>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</si>
  <si>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</si>
  <si>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</si>
  <si>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</si>
  <si>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</si>
  <si>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</si>
  <si>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</si>
  <si>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</si>
  <si>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</si>
  <si>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</si>
  <si>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</si>
  <si>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</si>
  <si>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</si>
  <si>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</si>
  <si>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</si>
  <si>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</si>
  <si>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</si>
  <si>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</si>
  <si>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</si>
  <si>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</si>
  <si>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</si>
  <si>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</si>
  <si>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</si>
  <si>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</si>
  <si>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</si>
  <si>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</si>
  <si>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</si>
  <si>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</si>
  <si>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</si>
  <si>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</si>
  <si>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</si>
  <si>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</si>
  <si>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</si>
  <si>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</si>
  <si>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</si>
  <si>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</si>
  <si>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</si>
  <si>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</si>
  <si>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</si>
  <si>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</si>
  <si>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</si>
  <si>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</si>
  <si>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</si>
  <si>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</si>
  <si>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</si>
  <si>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</si>
  <si>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</si>
  <si>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</si>
  <si>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</si>
  <si>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</si>
  <si>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</si>
  <si>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</si>
  <si>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</si>
  <si>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</si>
  <si>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</si>
  <si>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</si>
  <si>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</si>
  <si>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</si>
  <si>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</si>
  <si>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</si>
  <si>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</si>
  <si>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</si>
  <si>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</si>
  <si>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</si>
  <si>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</si>
  <si>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</si>
  <si>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</si>
  <si>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</si>
  <si>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</si>
  <si>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</si>
  <si>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</si>
  <si>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</si>
  <si>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</si>
  <si>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</si>
  <si>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</si>
  <si>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</si>
  <si>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</si>
  <si>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</si>
  <si>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</si>
  <si>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</si>
  <si>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</si>
  <si>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</si>
  <si>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</si>
  <si>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</si>
  <si>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</si>
  <si>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</si>
  <si>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</si>
  <si>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</si>
  <si>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</si>
  <si>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</si>
  <si>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</si>
  <si>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</si>
  <si>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</si>
  <si>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</si>
  <si>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</si>
  <si>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</si>
  <si>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</si>
  <si>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</si>
  <si>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</si>
  <si>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</si>
  <si>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</si>
  <si>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</si>
  <si>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</si>
  <si>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</si>
  <si>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</si>
  <si>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</si>
  <si>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</si>
  <si>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</si>
  <si>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</si>
  <si>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</si>
  <si>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</si>
  <si>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</si>
  <si>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</si>
  <si>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</si>
  <si>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</si>
  <si>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</si>
  <si>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</si>
  <si>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</si>
  <si>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</si>
  <si>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</si>
  <si>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</si>
  <si>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</si>
  <si>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</si>
  <si>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</si>
  <si>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</si>
  <si>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</si>
  <si>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</si>
  <si>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</si>
  <si>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</si>
  <si>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</si>
  <si>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</si>
  <si>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</si>
  <si>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</si>
  <si>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</si>
  <si>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</si>
  <si>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</si>
  <si>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</si>
  <si>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</si>
  <si>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</si>
  <si>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</si>
  <si>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</si>
  <si>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</si>
  <si>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</si>
  <si>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</si>
  <si>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</si>
  <si>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</si>
  <si>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</si>
  <si>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</si>
  <si>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</si>
  <si>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</si>
  <si>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</si>
  <si>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</si>
  <si>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</si>
  <si>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</si>
  <si>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</si>
  <si>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</si>
  <si>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</si>
  <si>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</si>
  <si>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</si>
  <si>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</si>
  <si>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</si>
  <si>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</si>
  <si>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</si>
  <si>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</si>
  <si>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</si>
  <si>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</si>
  <si>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</si>
  <si>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</si>
  <si>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</si>
  <si>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</si>
  <si>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</si>
  <si>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</si>
  <si>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</si>
  <si>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</si>
  <si>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</si>
  <si>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</si>
  <si>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</si>
  <si>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</si>
  <si>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</si>
  <si>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</si>
  <si>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</si>
  <si>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</si>
  <si>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</si>
  <si>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</si>
  <si>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</si>
  <si>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</si>
  <si>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</si>
  <si>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</si>
  <si>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</si>
  <si>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</si>
  <si>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</si>
  <si>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</si>
  <si>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</si>
  <si>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</si>
  <si>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</si>
  <si>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</si>
  <si>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</si>
  <si>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</si>
  <si>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</si>
  <si>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</si>
  <si>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</si>
  <si>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</si>
  <si>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</si>
  <si>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</si>
  <si>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</si>
  <si>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</si>
  <si>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</si>
  <si>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</si>
  <si>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</si>
  <si>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</si>
  <si>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</si>
  <si>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</si>
  <si>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</si>
  <si>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</si>
  <si>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</si>
  <si>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</si>
  <si>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</si>
  <si>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</si>
  <si>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</si>
  <si>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</si>
  <si>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</si>
  <si>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</si>
  <si>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</si>
  <si>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</si>
  <si>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</si>
  <si>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</si>
  <si>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</si>
  <si>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</si>
  <si>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</si>
  <si>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</si>
  <si>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</si>
  <si>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</si>
  <si>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</si>
  <si>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</si>
  <si>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</si>
  <si>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</si>
  <si>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</si>
  <si>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</si>
  <si>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</si>
  <si>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</si>
  <si>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</si>
  <si>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</si>
  <si>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</si>
  <si>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</si>
  <si>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</si>
  <si>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</si>
  <si>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</si>
  <si>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</si>
  <si>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</si>
  <si>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</si>
  <si>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</si>
  <si>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</si>
  <si>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</si>
  <si>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</si>
  <si>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</si>
  <si>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</si>
  <si>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</si>
  <si>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</si>
  <si>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</si>
  <si>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</si>
  <si>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</si>
  <si>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</si>
  <si>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</si>
  <si>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</si>
  <si>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</si>
  <si>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</si>
  <si>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</si>
  <si>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</si>
  <si>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</si>
  <si>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</si>
  <si>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</si>
  <si>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</si>
  <si>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</si>
  <si>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</si>
  <si>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</si>
  <si>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</si>
  <si>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</si>
  <si>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</si>
  <si>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</si>
  <si>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</si>
  <si>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</si>
  <si>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</si>
  <si>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</si>
  <si>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</si>
  <si>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</si>
  <si>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</si>
  <si>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</si>
  <si>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</si>
  <si>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</si>
  <si>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</si>
  <si>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</si>
  <si>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</si>
  <si>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</si>
  <si>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</si>
  <si>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</si>
  <si>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</si>
  <si>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</si>
  <si>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</si>
  <si>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</si>
  <si>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</si>
  <si>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</si>
  <si>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</si>
  <si>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</si>
  <si>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</si>
  <si>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</si>
  <si>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</si>
  <si>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</si>
  <si>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</si>
  <si>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</si>
  <si>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</si>
  <si>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</si>
  <si>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</si>
  <si>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</si>
  <si>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</si>
  <si>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</si>
  <si>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</si>
  <si>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</si>
  <si>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</si>
  <si>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</si>
  <si>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</si>
  <si>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</si>
  <si>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</si>
  <si>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</si>
  <si>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</si>
  <si>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</si>
  <si>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</si>
  <si>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</si>
  <si>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</si>
  <si>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</si>
  <si>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</si>
  <si>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</si>
  <si>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</si>
  <si>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</si>
  <si>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</si>
  <si>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</si>
  <si>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</si>
  <si>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</si>
  <si>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</si>
  <si>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</si>
  <si>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</si>
  <si>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</si>
  <si>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</si>
  <si>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</si>
  <si>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</si>
  <si>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</si>
  <si>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</si>
  <si>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</si>
  <si>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</si>
  <si>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</si>
  <si>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</si>
  <si>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</si>
  <si>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</si>
  <si>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</si>
  <si>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</si>
  <si>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</si>
  <si>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</si>
  <si>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</si>
  <si>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</si>
  <si>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</si>
  <si>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</si>
  <si>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</si>
  <si>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</si>
  <si>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</si>
  <si>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</si>
  <si>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</si>
  <si>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</si>
  <si>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</si>
  <si>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</si>
  <si>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</si>
  <si>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</si>
  <si>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</si>
  <si>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</si>
  <si>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</si>
  <si>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</si>
  <si>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</si>
  <si>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</si>
  <si>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</si>
  <si>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</si>
  <si>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</si>
  <si>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</si>
  <si>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</si>
  <si>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</si>
  <si>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</si>
  <si>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</si>
  <si>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</si>
  <si>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</si>
  <si>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</si>
  <si>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</si>
  <si>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</si>
  <si>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</si>
  <si>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</si>
  <si>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</si>
  <si>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</si>
  <si>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</si>
  <si>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</si>
  <si>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</si>
  <si>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</si>
  <si>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</si>
  <si>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</si>
  <si>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</si>
  <si>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</si>
  <si>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</si>
  <si>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</si>
  <si>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</si>
  <si>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</si>
  <si>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</si>
  <si>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</si>
  <si>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</si>
  <si>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</si>
  <si>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</si>
  <si>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</si>
  <si>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</si>
  <si>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</si>
  <si>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</si>
  <si>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</si>
  <si>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</si>
  <si>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</si>
  <si>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</si>
  <si>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</si>
  <si>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</si>
  <si>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</si>
  <si>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</si>
  <si>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</si>
  <si>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</si>
  <si>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</si>
  <si>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</si>
  <si>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</si>
  <si>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</si>
  <si>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</si>
  <si>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</si>
  <si>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</si>
  <si>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</si>
  <si>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</si>
  <si>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</si>
  <si>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</si>
  <si>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</si>
  <si>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</si>
  <si>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</si>
  <si>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</si>
  <si>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</si>
  <si>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</si>
  <si>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</si>
  <si>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</si>
  <si>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</si>
  <si>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</si>
  <si>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</si>
  <si>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</si>
  <si>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</si>
  <si>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</si>
  <si>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</si>
  <si>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</si>
  <si>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</si>
  <si>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</si>
  <si>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</si>
  <si>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</si>
  <si>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</si>
  <si>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</si>
  <si>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</si>
  <si>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</si>
  <si>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</si>
  <si>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</si>
  <si>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</si>
  <si>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</si>
  <si>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</si>
  <si>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</si>
  <si>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</si>
  <si>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</si>
  <si>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</si>
  <si>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</si>
  <si>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</si>
  <si>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</si>
  <si>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</si>
  <si>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</si>
  <si>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</si>
  <si>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</si>
  <si>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</si>
  <si>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</si>
  <si>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</si>
  <si>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</si>
  <si>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</si>
  <si>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</si>
  <si>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</si>
  <si>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</si>
  <si>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</si>
  <si>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</si>
  <si>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</si>
  <si>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</si>
  <si>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</si>
  <si>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</si>
  <si>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</si>
  <si>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</si>
  <si>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</si>
  <si>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</si>
  <si>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</si>
  <si>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</si>
  <si>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</si>
  <si>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</si>
  <si>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</si>
  <si>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</si>
  <si>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</si>
  <si>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</si>
  <si>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</si>
  <si>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</si>
  <si>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</si>
  <si>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</si>
  <si>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</si>
  <si>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</si>
  <si>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</si>
  <si>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</si>
  <si>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</si>
  <si>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</si>
  <si>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</si>
  <si>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</si>
  <si>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</si>
  <si>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</si>
  <si>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</si>
  <si>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</si>
  <si>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</si>
  <si>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</si>
  <si>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</si>
  <si>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</si>
  <si>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</si>
  <si>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</si>
  <si>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</si>
  <si>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</si>
  <si>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</si>
  <si>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</si>
  <si>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</si>
  <si>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</si>
  <si>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</si>
  <si>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</si>
  <si>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</si>
  <si>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</si>
  <si>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</si>
  <si>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</si>
  <si>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</si>
  <si>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</si>
  <si>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</si>
  <si>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</si>
  <si>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</si>
  <si>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</si>
  <si>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</si>
  <si>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</si>
  <si>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</si>
  <si>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</si>
  <si>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</si>
  <si>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</si>
  <si>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</si>
  <si>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</si>
  <si>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</si>
  <si>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</si>
  <si>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</si>
  <si>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</si>
  <si>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</si>
  <si>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</si>
  <si>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</si>
  <si>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</si>
  <si>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</si>
  <si>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</si>
  <si>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</si>
  <si>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</si>
  <si>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</si>
  <si>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</si>
  <si>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</si>
  <si>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</si>
  <si>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</si>
  <si>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</si>
  <si>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</si>
  <si>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</si>
  <si>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</si>
  <si>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</si>
  <si>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</si>
  <si>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</si>
  <si>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</si>
  <si>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</si>
  <si>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</si>
  <si>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</si>
  <si>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</si>
  <si>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</si>
  <si>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</si>
  <si>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</si>
  <si>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</si>
  <si>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</si>
  <si>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</si>
  <si>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</si>
  <si>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</si>
  <si>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</si>
  <si>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</si>
  <si>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</si>
  <si>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</si>
  <si>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</si>
  <si>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</si>
  <si>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</si>
  <si>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</si>
  <si>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</si>
  <si>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</si>
  <si>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</si>
  <si>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</si>
  <si>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</si>
  <si>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</si>
  <si>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</si>
  <si>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</si>
  <si>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</si>
  <si>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</si>
  <si>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</si>
  <si>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</si>
  <si>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</si>
  <si>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</si>
  <si>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</si>
  <si>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</si>
  <si>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</si>
  <si>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</si>
  <si>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</si>
  <si>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</si>
  <si>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</si>
  <si>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</si>
  <si>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</si>
  <si>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</si>
  <si>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</si>
  <si>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</si>
  <si>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</si>
  <si>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</si>
  <si>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</si>
  <si>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</si>
  <si>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</si>
  <si>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</si>
  <si>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</si>
  <si>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</si>
  <si>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</si>
  <si>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</si>
  <si>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</si>
  <si>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</si>
  <si>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</si>
  <si>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</si>
  <si>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</si>
  <si>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</si>
  <si>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</si>
  <si>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</si>
  <si>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</si>
  <si>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</si>
  <si>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</si>
  <si>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</si>
  <si>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</si>
  <si>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</si>
  <si>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</si>
  <si>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</si>
  <si>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</si>
  <si>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</si>
  <si>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</si>
  <si>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</si>
  <si>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</si>
  <si>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</si>
  <si>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</si>
  <si>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</si>
  <si>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</si>
  <si>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</si>
  <si>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</si>
  <si>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</si>
  <si>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</si>
  <si>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</si>
  <si>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</si>
  <si>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</si>
  <si>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</si>
  <si>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</si>
  <si>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</si>
  <si>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</si>
  <si>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</si>
  <si>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</si>
  <si>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</si>
  <si>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</si>
  <si>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</si>
  <si>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</si>
  <si>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</si>
  <si>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</si>
  <si>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</si>
  <si>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</si>
  <si>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</si>
  <si>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</si>
  <si>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</si>
  <si>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</si>
  <si>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</si>
  <si>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</si>
  <si>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</si>
  <si>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</si>
  <si>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</si>
  <si>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</si>
  <si>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</si>
  <si>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</si>
  <si>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</si>
  <si>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</si>
  <si>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</si>
  <si>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</si>
  <si>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</si>
  <si>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</si>
  <si>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</si>
  <si>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</si>
  <si>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</si>
  <si>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</si>
  <si>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</si>
  <si>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</si>
  <si>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</si>
  <si>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</si>
  <si>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</si>
  <si>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</si>
  <si>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</si>
  <si>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</si>
  <si>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</si>
  <si>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</si>
  <si>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</si>
  <si>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</si>
  <si>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</si>
  <si>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</si>
  <si>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</si>
  <si>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</si>
  <si>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</si>
  <si>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</si>
  <si>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</si>
  <si>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</si>
  <si>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</si>
  <si>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</si>
  <si>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</si>
  <si>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</si>
  <si>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</si>
  <si>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</si>
  <si>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</si>
  <si>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</si>
  <si>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</si>
  <si>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</si>
  <si>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</si>
  <si>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</si>
  <si>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</si>
  <si>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</si>
  <si>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</si>
  <si>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</si>
  <si>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</si>
  <si>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</si>
  <si>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</si>
  <si>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</si>
  <si>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</si>
  <si>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</si>
  <si>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</si>
  <si>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</si>
  <si>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</si>
  <si>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</si>
  <si>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</si>
  <si>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</si>
  <si>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</si>
  <si>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</si>
  <si>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</si>
  <si>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</si>
  <si>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</si>
  <si>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</si>
  <si>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</si>
  <si>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</si>
  <si>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</si>
  <si>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</si>
  <si>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</si>
  <si>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</si>
  <si>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</si>
  <si>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</si>
  <si>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</si>
  <si>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</si>
  <si>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</si>
  <si>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</si>
  <si>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</si>
  <si>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</si>
  <si>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</si>
  <si>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</si>
  <si>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</si>
  <si>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</si>
  <si>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</si>
  <si>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</si>
  <si>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</si>
  <si>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</si>
  <si>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</si>
  <si>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</si>
  <si>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</si>
  <si>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</si>
  <si>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</si>
  <si>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</si>
  <si>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</si>
  <si>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</si>
  <si>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</si>
  <si>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</si>
  <si>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</si>
  <si>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</si>
  <si>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</si>
  <si>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</si>
  <si>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</si>
  <si>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</si>
  <si>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</si>
  <si>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</si>
  <si>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</si>
  <si>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</si>
  <si>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</si>
  <si>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</si>
  <si>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</si>
  <si>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</si>
  <si>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</si>
  <si>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</si>
  <si>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</si>
  <si>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</si>
  <si>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</si>
  <si>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</si>
  <si>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</si>
  <si>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</si>
  <si>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</si>
  <si>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</si>
  <si>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</si>
  <si>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</si>
  <si>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</si>
  <si>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</si>
  <si>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</si>
  <si>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</si>
  <si>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</si>
  <si>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</si>
  <si>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</si>
  <si>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</si>
  <si>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</si>
  <si>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</si>
  <si>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</si>
  <si>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</si>
  <si>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</si>
  <si>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</si>
  <si>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</si>
  <si>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</si>
  <si>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</si>
  <si>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</si>
  <si>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</si>
  <si>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</si>
  <si>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</si>
  <si>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</si>
  <si>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</si>
  <si>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</si>
  <si>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</si>
  <si>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</si>
  <si>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</si>
  <si>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</si>
  <si>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</si>
  <si>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</si>
  <si>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</si>
  <si>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</si>
  <si>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</si>
  <si>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</si>
  <si>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</si>
  <si>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</si>
  <si>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</si>
  <si>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</si>
  <si>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</si>
  <si>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</si>
  <si>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</si>
  <si>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</si>
  <si>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</si>
  <si>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</si>
  <si>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</si>
  <si>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</si>
  <si>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</si>
  <si>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</si>
  <si>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</si>
  <si>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</si>
  <si>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</si>
  <si>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</si>
  <si>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</si>
  <si>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</si>
  <si>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</si>
  <si>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</si>
  <si>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</si>
  <si>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</si>
  <si>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</si>
  <si>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</si>
  <si>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</si>
  <si>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</si>
  <si>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</si>
  <si>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</si>
  <si>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</si>
  <si>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</si>
  <si>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</si>
  <si>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</si>
  <si>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</si>
  <si>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</si>
  <si>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</si>
  <si>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</si>
  <si>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</si>
  <si>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</si>
  <si>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</si>
  <si>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</si>
  <si>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</si>
  <si>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</si>
  <si>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</si>
  <si>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</si>
  <si>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</si>
  <si>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</si>
  <si>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</si>
  <si>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</si>
  <si>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</si>
  <si>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</si>
  <si>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</si>
  <si>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</si>
  <si>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</si>
  <si>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</si>
  <si>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</si>
  <si>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</si>
  <si>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</si>
  <si>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</si>
  <si>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</si>
  <si>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</si>
  <si>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</si>
  <si>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</si>
  <si>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</si>
  <si>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</si>
  <si>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</si>
  <si>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</si>
  <si>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</si>
  <si>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</si>
  <si>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</si>
  <si>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</si>
  <si>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</si>
  <si>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</si>
  <si>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</si>
  <si>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</si>
  <si>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</si>
  <si>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</si>
  <si>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</si>
  <si>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</si>
  <si>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</si>
  <si>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</si>
  <si>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</si>
  <si>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</si>
  <si>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</si>
  <si>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</si>
  <si>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</si>
  <si>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</si>
  <si>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</si>
  <si>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</si>
  <si>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</si>
  <si>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</si>
  <si>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</si>
  <si>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</si>
  <si>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</si>
  <si>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</si>
  <si>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</si>
  <si>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</si>
  <si>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</si>
  <si>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</si>
  <si>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</si>
  <si>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</si>
  <si>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</si>
  <si>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</si>
  <si>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</si>
  <si>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</si>
  <si>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</si>
  <si>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</si>
  <si>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</si>
  <si>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</si>
  <si>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</si>
  <si>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</si>
  <si>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</si>
  <si>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</si>
  <si>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</si>
  <si>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</si>
  <si>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</si>
  <si>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</si>
  <si>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</si>
  <si>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</si>
  <si>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</si>
  <si>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</si>
  <si>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</si>
  <si>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</si>
  <si>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</si>
  <si>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</si>
  <si>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</si>
  <si>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</si>
  <si>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</si>
  <si>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</si>
  <si>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</si>
  <si>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</si>
  <si>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</si>
  <si>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</si>
  <si>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</si>
  <si>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</si>
  <si>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</si>
  <si>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</si>
  <si>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</si>
  <si>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</si>
  <si>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</si>
  <si>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</si>
  <si>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</si>
  <si>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</si>
  <si>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</si>
  <si>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</si>
  <si>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</si>
  <si>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</si>
  <si>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</si>
  <si>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</si>
  <si>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</si>
  <si>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</si>
  <si>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</si>
  <si>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</si>
  <si>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</si>
  <si>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</si>
  <si>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</si>
  <si>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</si>
  <si>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</si>
  <si>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</si>
  <si>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</si>
  <si>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</si>
  <si>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</si>
  <si>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</si>
  <si>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</si>
  <si>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</si>
  <si>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</si>
  <si>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</si>
  <si>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</si>
  <si>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</si>
  <si>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</si>
  <si>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</si>
  <si>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</si>
  <si>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</si>
  <si>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</si>
  <si>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</si>
  <si>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</si>
  <si>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</si>
  <si>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</si>
  <si>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</si>
  <si>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</si>
  <si>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</si>
  <si>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</si>
  <si>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</si>
  <si>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</si>
  <si>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</si>
  <si>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</si>
  <si>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</si>
  <si>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</si>
  <si>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</si>
  <si>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</si>
  <si>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</si>
  <si>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</si>
  <si>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</si>
  <si>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</si>
  <si>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</si>
  <si>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</si>
  <si>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</si>
  <si>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</si>
  <si>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</si>
  <si>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</si>
  <si>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</si>
  <si>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</si>
  <si>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</si>
  <si>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</si>
  <si>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</si>
  <si>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</si>
  <si>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</si>
  <si>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</si>
  <si>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</si>
  <si>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</si>
  <si>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</si>
  <si>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</si>
  <si>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</si>
  <si>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</si>
  <si>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</si>
  <si>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</si>
  <si>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</si>
  <si>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</si>
  <si>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</si>
  <si>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</si>
  <si>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</si>
  <si>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</si>
  <si>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</si>
  <si>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</si>
  <si>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</si>
  <si>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</si>
  <si>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</si>
  <si>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</si>
  <si>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</si>
  <si>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</si>
  <si>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</si>
  <si>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</si>
  <si>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</si>
  <si>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</si>
  <si>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</si>
  <si>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</si>
  <si>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</si>
  <si>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</si>
  <si>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</si>
  <si>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</si>
  <si>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</si>
  <si>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</si>
  <si>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</si>
  <si>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</si>
  <si>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</si>
  <si>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</si>
  <si>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</si>
  <si>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</si>
  <si>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</si>
  <si>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</si>
  <si>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</si>
  <si>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</si>
  <si>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</si>
  <si>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</si>
  <si>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</si>
  <si>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</si>
  <si>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</si>
  <si>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</si>
  <si>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</si>
  <si>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</si>
  <si>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</si>
  <si>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</si>
  <si>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</si>
  <si>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</si>
  <si>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</si>
  <si>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</si>
  <si>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</si>
  <si>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</si>
  <si>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</si>
  <si>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</si>
  <si>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</si>
  <si>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</si>
  <si>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</si>
  <si>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</si>
  <si>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</si>
  <si>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</si>
  <si>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</si>
  <si>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</si>
  <si>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</si>
  <si>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</si>
  <si>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</si>
  <si>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</si>
  <si>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</si>
  <si>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</si>
  <si>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</si>
  <si>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</si>
  <si>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</si>
  <si>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</si>
  <si>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</si>
  <si>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</si>
  <si>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</si>
  <si>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</si>
  <si>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</si>
  <si>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</si>
  <si>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</si>
  <si>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</si>
  <si>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</si>
  <si>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</si>
  <si>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</si>
  <si>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</si>
  <si>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</si>
  <si>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</si>
  <si>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</si>
  <si>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</si>
  <si>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</si>
  <si>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</si>
  <si>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</si>
  <si>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</si>
  <si>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</si>
  <si>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</si>
  <si>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</si>
  <si>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</si>
  <si>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</si>
  <si>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</si>
  <si>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</si>
  <si>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</si>
  <si>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</si>
  <si>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</si>
  <si>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</si>
  <si>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</si>
  <si>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</si>
  <si>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</si>
  <si>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</si>
  <si>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</si>
  <si>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</si>
  <si>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</si>
  <si>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</si>
  <si>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</si>
  <si>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</si>
  <si>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</si>
  <si>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</si>
  <si>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</si>
  <si>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</si>
  <si>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</si>
  <si>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</si>
  <si>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</si>
  <si>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</si>
  <si>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</si>
  <si>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</si>
  <si>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</si>
  <si>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</si>
  <si>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</si>
  <si>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</si>
  <si>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</si>
  <si>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</si>
  <si>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</si>
  <si>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</si>
  <si>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</si>
  <si>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</si>
  <si>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</si>
  <si>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</si>
  <si>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</si>
  <si>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</si>
  <si>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</si>
  <si>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</si>
  <si>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</si>
  <si>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</si>
  <si>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</si>
  <si>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</si>
  <si>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</si>
  <si>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</si>
  <si>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</si>
  <si>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</si>
  <si>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</si>
  <si>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</si>
  <si>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</si>
  <si>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</si>
  <si>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</si>
  <si>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</si>
  <si>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</si>
  <si>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</si>
  <si>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</si>
  <si>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</si>
  <si>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</si>
  <si>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</si>
  <si>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</si>
  <si>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</si>
  <si>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</si>
  <si>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</si>
  <si>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</si>
  <si>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</si>
  <si>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</si>
  <si>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</si>
  <si>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</si>
  <si>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</si>
  <si>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</si>
  <si>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</si>
  <si>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</si>
  <si>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</si>
  <si>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</si>
  <si>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</si>
  <si>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</si>
  <si>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</si>
  <si>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</si>
  <si>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</si>
  <si>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</si>
  <si>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</si>
  <si>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</si>
  <si>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</si>
  <si>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</si>
  <si>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</si>
  <si>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</si>
  <si>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</si>
  <si>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</si>
  <si>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</si>
  <si>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</si>
  <si>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</si>
  <si>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</si>
  <si>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</si>
  <si>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</si>
  <si>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</si>
  <si>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</si>
  <si>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</si>
  <si>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</si>
  <si>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</si>
  <si>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</si>
  <si>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</si>
  <si>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</si>
  <si>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</si>
  <si>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</si>
  <si>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</si>
  <si>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</si>
  <si>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</si>
  <si>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</si>
  <si>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</si>
  <si>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</si>
  <si>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</si>
  <si>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</si>
  <si>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</si>
  <si>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</si>
  <si>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</si>
  <si>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</si>
  <si>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</si>
  <si>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</si>
  <si>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</si>
  <si>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</si>
  <si>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</si>
  <si>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</si>
  <si>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</si>
  <si>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</si>
  <si>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</si>
  <si>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</si>
  <si>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</si>
  <si>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</si>
  <si>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</si>
  <si>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</si>
  <si>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</si>
  <si>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</si>
  <si>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</si>
  <si>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</si>
  <si>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</si>
  <si>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</si>
  <si>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</si>
  <si>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</si>
  <si>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</si>
  <si>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</si>
  <si>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</si>
  <si>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</si>
  <si>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</si>
  <si>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</si>
  <si>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</si>
  <si>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</si>
  <si>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</si>
  <si>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</si>
  <si>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</si>
  <si>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</si>
  <si>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</si>
  <si>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</si>
  <si>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</si>
  <si>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</si>
  <si>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</si>
  <si>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</si>
  <si>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</si>
  <si>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</si>
  <si>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</si>
  <si>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</si>
  <si>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</si>
  <si>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</si>
  <si>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</si>
  <si>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</si>
  <si>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</si>
  <si>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</si>
  <si>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</si>
  <si>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</si>
  <si>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</si>
  <si>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</si>
  <si>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</si>
  <si>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</si>
  <si>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</si>
  <si>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</si>
  <si>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</si>
  <si>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</si>
  <si>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</si>
  <si>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</si>
  <si>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</si>
  <si>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</si>
  <si>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</si>
  <si>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</si>
  <si>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</si>
  <si>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</si>
  <si>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</si>
  <si>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</si>
  <si>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</si>
  <si>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</si>
  <si>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</si>
  <si>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</si>
  <si>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</si>
  <si>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</si>
  <si>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</si>
  <si>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</si>
  <si>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</si>
  <si>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</si>
  <si>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</si>
  <si>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</si>
  <si>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</si>
  <si>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</si>
  <si>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</si>
  <si>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</si>
  <si>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</si>
  <si>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</si>
  <si>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</si>
  <si>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</si>
  <si>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</si>
  <si>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</si>
  <si>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</si>
  <si>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</si>
  <si>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</si>
  <si>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</si>
  <si>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</si>
  <si>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</si>
  <si>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</si>
  <si>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</si>
  <si>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</si>
  <si>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</si>
  <si>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</si>
  <si>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</si>
  <si>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</si>
  <si>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</si>
  <si>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</si>
  <si>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</si>
  <si>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</si>
  <si>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</si>
  <si>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</si>
  <si>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</si>
  <si>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</si>
  <si>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</si>
  <si>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</si>
  <si>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</si>
  <si>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</si>
  <si>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</si>
  <si>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</si>
  <si>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</si>
  <si>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</si>
  <si>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</si>
  <si>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</si>
  <si>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</si>
  <si>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</si>
  <si>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</si>
  <si>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</si>
  <si>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</si>
  <si>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</si>
  <si>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</si>
  <si>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</si>
  <si>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</si>
  <si>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</si>
  <si>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</si>
  <si>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</si>
  <si>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</si>
  <si>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</si>
  <si>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</si>
  <si>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</si>
  <si>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</si>
  <si>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</si>
  <si>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</si>
  <si>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</si>
  <si>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</si>
  <si>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</si>
  <si>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</si>
  <si>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</si>
  <si>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</si>
  <si>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</si>
  <si>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</si>
  <si>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</si>
  <si>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</si>
  <si>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</si>
  <si>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</si>
  <si>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</si>
  <si>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</si>
  <si>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</si>
  <si>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</si>
  <si>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</si>
  <si>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</si>
  <si>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</si>
  <si>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</si>
  <si>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</si>
  <si>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</si>
  <si>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</si>
  <si>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</si>
  <si>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</si>
  <si>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</si>
  <si>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</si>
  <si>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</si>
  <si>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</si>
  <si>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</si>
  <si>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</si>
  <si>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</si>
  <si>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</si>
  <si>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</si>
  <si>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</si>
  <si>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</si>
  <si>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</si>
  <si>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</si>
  <si>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</si>
  <si>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</si>
  <si>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</si>
  <si>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</si>
  <si>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</si>
  <si>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</si>
  <si>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</si>
  <si>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</si>
  <si>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</si>
  <si>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</si>
  <si>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</si>
  <si>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</si>
  <si>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</si>
  <si>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</si>
  <si>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</si>
  <si>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</si>
  <si>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</si>
  <si>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</si>
  <si>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</si>
  <si>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</si>
  <si>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</si>
  <si>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</si>
  <si>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</si>
  <si>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</si>
  <si>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</si>
  <si>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</si>
  <si>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</si>
  <si>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</si>
  <si>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</si>
  <si>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</si>
  <si>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</si>
  <si>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</si>
  <si>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</si>
  <si>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</si>
  <si>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</si>
  <si>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</si>
  <si>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</si>
  <si>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</si>
  <si>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</si>
  <si>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</si>
  <si>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</si>
  <si>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</si>
  <si>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</si>
  <si>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</si>
  <si>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</si>
  <si>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</si>
  <si>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</si>
  <si>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</si>
  <si>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</si>
  <si>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</si>
  <si>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</si>
  <si>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</si>
  <si>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</si>
  <si>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</si>
  <si>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</si>
  <si>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</si>
  <si>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</si>
  <si>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</si>
  <si>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</si>
  <si>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</si>
  <si>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</si>
  <si>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</si>
  <si>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</si>
  <si>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</si>
  <si>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</si>
  <si>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</si>
  <si>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</si>
  <si>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</si>
  <si>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</si>
  <si>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</si>
  <si>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</si>
  <si>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</si>
  <si>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</si>
  <si>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</si>
  <si>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</si>
  <si>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</si>
  <si>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</si>
  <si>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</si>
  <si>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</si>
  <si>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</si>
  <si>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</si>
  <si>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</si>
  <si>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</si>
  <si>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</si>
  <si>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</si>
  <si>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</si>
  <si>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</si>
  <si>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</si>
  <si>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</si>
  <si>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</si>
  <si>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</si>
  <si>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</si>
  <si>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</si>
  <si>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</si>
  <si>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</si>
  <si>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</si>
  <si>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</si>
  <si>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</si>
  <si>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</si>
  <si>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</si>
  <si>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</si>
  <si>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</si>
  <si>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</si>
  <si>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</si>
  <si>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</si>
  <si>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</si>
  <si>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</si>
  <si>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</si>
  <si>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</si>
  <si>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</si>
  <si>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</si>
  <si>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</si>
  <si>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</si>
  <si>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</si>
  <si>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</si>
  <si>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</si>
  <si>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</si>
  <si>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</si>
  <si>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</si>
  <si>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</si>
  <si>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</si>
  <si>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</si>
  <si>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</si>
  <si>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</si>
  <si>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</si>
  <si>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</si>
  <si>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</si>
  <si>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</si>
  <si>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</si>
  <si>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</si>
  <si>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</si>
  <si>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</si>
  <si>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</si>
  <si>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</si>
  <si>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</si>
  <si>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</si>
  <si>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</si>
  <si>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</si>
  <si>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</si>
  <si>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</si>
  <si>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</si>
  <si>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</si>
  <si>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</si>
  <si>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</si>
  <si>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</si>
  <si>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</si>
  <si>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</si>
  <si>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</si>
  <si>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</si>
  <si>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</si>
  <si>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</si>
  <si>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</si>
  <si>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</si>
  <si>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</si>
  <si>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</si>
  <si>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</si>
  <si>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</si>
  <si>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</si>
  <si>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</si>
  <si>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</si>
  <si>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</si>
  <si>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</si>
  <si>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</si>
  <si>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</si>
  <si>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</si>
  <si>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</si>
  <si>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</si>
  <si>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</si>
  <si>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</si>
  <si>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</si>
  <si>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</si>
  <si>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</si>
  <si>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</si>
  <si>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</si>
  <si>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</si>
  <si>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</si>
  <si>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</si>
  <si>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</si>
  <si>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</si>
  <si>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</si>
  <si>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</si>
  <si>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</si>
  <si>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</si>
  <si>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</si>
  <si>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</si>
  <si>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</si>
  <si>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</si>
  <si>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</si>
  <si>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</si>
  <si>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</si>
  <si>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</si>
  <si>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</si>
  <si>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</si>
  <si>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</si>
  <si>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</si>
  <si>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</si>
  <si>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</si>
  <si>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</si>
  <si>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</si>
  <si>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</si>
  <si>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</si>
  <si>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</si>
  <si>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</si>
  <si>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</si>
  <si>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</si>
  <si>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</si>
  <si>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</si>
  <si>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</si>
  <si>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</si>
  <si>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</si>
  <si>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</si>
  <si>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</si>
  <si>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</si>
  <si>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</si>
  <si>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</si>
  <si>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</si>
  <si>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</si>
  <si>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</si>
  <si>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</si>
  <si>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</si>
  <si>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</si>
  <si>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</si>
  <si>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</si>
  <si>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</si>
  <si>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</si>
  <si>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</si>
  <si>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</si>
  <si>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</si>
  <si>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</si>
  <si>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</si>
  <si>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</si>
  <si>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</si>
  <si>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</si>
  <si>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</si>
  <si>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</si>
  <si>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</si>
  <si>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</si>
  <si>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</si>
  <si>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</si>
  <si>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</si>
  <si>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</si>
  <si>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</si>
  <si>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</si>
  <si>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</si>
  <si>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</si>
  <si>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</si>
  <si>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</si>
  <si>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</si>
  <si>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</si>
  <si>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</si>
  <si>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</si>
  <si>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</si>
  <si>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</si>
  <si>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</si>
  <si>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</si>
  <si>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</si>
  <si>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</si>
  <si>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</si>
  <si>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</si>
  <si>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</si>
  <si>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</si>
  <si>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</si>
  <si>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</si>
  <si>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</si>
  <si>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</si>
  <si>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</si>
  <si>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</si>
  <si>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</si>
  <si>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</si>
  <si>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</si>
  <si>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</si>
  <si>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</si>
  <si>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</si>
  <si>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</si>
  <si>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</si>
  <si>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</si>
  <si>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</si>
  <si>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</si>
  <si>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</si>
  <si>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</si>
  <si>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</si>
  <si>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</si>
  <si>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</si>
  <si>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</si>
  <si>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</si>
  <si>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</si>
  <si>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</si>
  <si>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</si>
  <si>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</si>
  <si>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</si>
  <si>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</si>
  <si>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</si>
  <si>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</si>
  <si>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</si>
  <si>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</si>
  <si>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</si>
  <si>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</si>
  <si>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</si>
  <si>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</si>
  <si>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</si>
  <si>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</si>
  <si>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</si>
  <si>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</si>
  <si>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</si>
  <si>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</si>
  <si>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</si>
  <si>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</si>
  <si>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</si>
  <si>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</si>
  <si>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</si>
  <si>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</si>
  <si>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</si>
  <si>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</si>
  <si>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</si>
  <si>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</si>
  <si>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</si>
  <si>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</si>
  <si>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</si>
  <si>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</si>
  <si>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</si>
  <si>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</si>
  <si>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</si>
  <si>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</si>
  <si>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</si>
  <si>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</si>
  <si>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</si>
  <si>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</si>
  <si>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</si>
  <si>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</si>
  <si>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</si>
  <si>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</si>
  <si>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</si>
  <si>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</si>
  <si>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</si>
  <si>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</si>
  <si>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</si>
  <si>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</si>
  <si>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</si>
  <si>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</si>
  <si>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</si>
  <si>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</si>
  <si>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</si>
  <si>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</si>
  <si>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</si>
  <si>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</si>
  <si>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</si>
  <si>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</si>
  <si>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</si>
  <si>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</si>
  <si>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</si>
  <si>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</si>
  <si>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</si>
  <si>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</si>
  <si>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</si>
  <si>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</si>
  <si>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</si>
  <si>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</si>
  <si>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</si>
  <si>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</si>
  <si>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</si>
  <si>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</si>
  <si>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</si>
  <si>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</si>
  <si>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</si>
  <si>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</si>
  <si>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</si>
  <si>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</si>
  <si>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</si>
  <si>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</si>
  <si>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</si>
  <si>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</si>
  <si>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</si>
  <si>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</si>
  <si>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</si>
  <si>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</si>
  <si>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</si>
  <si>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</si>
  <si>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</si>
  <si>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</si>
  <si>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</si>
  <si>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</si>
  <si>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</si>
  <si>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</si>
  <si>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</si>
  <si>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</si>
  <si>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</si>
  <si>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</si>
  <si>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</si>
  <si>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</si>
  <si>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</si>
  <si>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</si>
  <si>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</si>
  <si>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</si>
  <si>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</si>
  <si>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</si>
  <si>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</si>
  <si>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</si>
  <si>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</si>
  <si>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</si>
  <si>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</si>
  <si>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</si>
  <si>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</si>
  <si>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</si>
  <si>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</si>
  <si>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</si>
  <si>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</si>
  <si>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</si>
  <si>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</si>
  <si>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</si>
  <si>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</si>
  <si>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</si>
  <si>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</si>
  <si>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</si>
  <si>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</si>
  <si>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</si>
  <si>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</si>
  <si>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</si>
  <si>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</si>
  <si>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</si>
  <si>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</si>
  <si>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</si>
  <si>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</si>
  <si>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</si>
  <si>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</si>
  <si>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</si>
  <si>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</si>
  <si>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</si>
  <si>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</si>
  <si>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</si>
  <si>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</si>
  <si>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</si>
  <si>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</si>
  <si>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</si>
  <si>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</si>
  <si>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</si>
  <si>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</si>
  <si>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</si>
  <si>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</si>
  <si>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</si>
  <si>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</si>
  <si>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</si>
  <si>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</si>
  <si>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</si>
  <si>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</si>
  <si>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</si>
  <si>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</si>
  <si>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</si>
  <si>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</si>
  <si>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</si>
  <si>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</si>
  <si>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</si>
  <si>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</si>
  <si>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</si>
  <si>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</si>
  <si>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</si>
  <si>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</si>
  <si>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</si>
  <si>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</si>
  <si>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</si>
  <si>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</si>
  <si>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</si>
  <si>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</si>
  <si>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</si>
  <si>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</si>
  <si>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</si>
  <si>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</si>
  <si>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</si>
  <si>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</si>
  <si>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</si>
  <si>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</si>
  <si>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</si>
  <si>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</si>
  <si>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</si>
  <si>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</si>
  <si>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</si>
  <si>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</si>
  <si>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</si>
  <si>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</si>
  <si>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</si>
  <si>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</si>
  <si>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</si>
  <si>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</si>
  <si>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</si>
  <si>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</si>
  <si>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</si>
  <si>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</si>
  <si>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</si>
  <si>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</si>
  <si>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</si>
  <si>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</si>
  <si>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</si>
  <si>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</si>
  <si>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</si>
  <si>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</si>
  <si>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</si>
  <si>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</si>
  <si>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</si>
  <si>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</si>
  <si>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</si>
  <si>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</si>
  <si>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</si>
  <si>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</si>
  <si>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</si>
  <si>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</si>
  <si>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</si>
  <si>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</si>
  <si>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</si>
  <si>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</si>
  <si>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</si>
  <si>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</si>
  <si>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</si>
  <si>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</si>
  <si>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</si>
  <si>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</si>
  <si>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</si>
  <si>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</si>
  <si>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</si>
  <si>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</si>
  <si>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</si>
  <si>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</si>
  <si>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</si>
  <si>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</si>
  <si>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</si>
  <si>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</si>
  <si>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</si>
  <si>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</si>
  <si>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</si>
  <si>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</si>
  <si>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</si>
  <si>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</si>
  <si>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</si>
  <si>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</si>
  <si>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</si>
  <si>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</si>
  <si>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</si>
  <si>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</si>
  <si>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</si>
  <si>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</si>
  <si>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</si>
  <si>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</si>
  <si>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</si>
  <si>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</si>
  <si>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</si>
  <si>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</si>
  <si>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</si>
  <si>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</si>
  <si>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</si>
  <si>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</si>
  <si>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</si>
  <si>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</si>
  <si>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</si>
  <si>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</si>
  <si>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</si>
  <si>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</si>
  <si>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</si>
  <si>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</si>
  <si>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</si>
  <si>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</si>
  <si>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</si>
  <si>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</si>
  <si>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</si>
  <si>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</si>
  <si>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</si>
  <si>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</si>
  <si>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</si>
  <si>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</si>
  <si>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</si>
  <si>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</si>
  <si>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</si>
  <si>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</si>
  <si>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</si>
  <si>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</si>
  <si>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</si>
  <si>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</si>
  <si>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</si>
  <si>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</si>
  <si>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</si>
  <si>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</si>
  <si>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</si>
  <si>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</si>
  <si>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</si>
  <si>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</si>
  <si>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</si>
  <si>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</si>
  <si>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</si>
  <si>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</si>
  <si>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</si>
  <si>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</si>
  <si>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</si>
  <si>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</si>
  <si>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</si>
  <si>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</si>
  <si>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</si>
  <si>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</si>
  <si>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</si>
  <si>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</si>
  <si>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</si>
  <si>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</si>
  <si>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</si>
  <si>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</si>
  <si>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</si>
  <si>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</si>
  <si>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</si>
  <si>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</si>
  <si>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</si>
  <si>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</si>
  <si>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</si>
  <si>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</si>
  <si>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</si>
  <si>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</si>
  <si>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</si>
  <si>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</si>
  <si>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</si>
  <si>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</si>
  <si>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</si>
  <si>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</si>
  <si>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</si>
  <si>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</si>
  <si>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</si>
  <si>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</si>
  <si>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</si>
  <si>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</si>
  <si>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</si>
  <si>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</si>
  <si>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</si>
  <si>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</si>
  <si>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</si>
  <si>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</si>
  <si>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</si>
  <si>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</si>
  <si>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</si>
  <si>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</si>
  <si>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</si>
  <si>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</si>
  <si>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</si>
  <si>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</si>
  <si>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</si>
  <si>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</si>
  <si>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</si>
  <si>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</si>
  <si>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</si>
  <si>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</si>
  <si>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</si>
  <si>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</si>
  <si>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</si>
  <si>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</si>
  <si>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</si>
  <si>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</si>
  <si>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</si>
  <si>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</si>
  <si>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</si>
  <si>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</si>
  <si>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</si>
  <si>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</si>
  <si>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</si>
  <si>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</si>
  <si>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</si>
  <si>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</si>
  <si>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</si>
  <si>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</si>
  <si>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</si>
  <si>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</si>
  <si>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</si>
  <si>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</si>
  <si>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</si>
  <si>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</si>
  <si>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</si>
  <si>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</si>
  <si>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</si>
  <si>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</si>
  <si>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</si>
  <si>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</si>
  <si>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</si>
  <si>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</si>
  <si>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</si>
  <si>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</si>
  <si>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</si>
  <si>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</si>
  <si>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</si>
  <si>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</si>
  <si>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</si>
  <si>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</si>
  <si>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</si>
  <si>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</si>
  <si>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</si>
  <si>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</si>
  <si>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</si>
  <si>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</si>
  <si>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</si>
  <si>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</si>
  <si>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</si>
  <si>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</si>
  <si>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</si>
  <si>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</si>
  <si>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</si>
  <si>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</si>
  <si>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</si>
  <si>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</si>
  <si>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</si>
  <si>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</si>
  <si>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</si>
  <si>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</si>
  <si>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</si>
  <si>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</si>
  <si>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</si>
  <si>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</si>
  <si>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</si>
  <si>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</si>
  <si>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</si>
  <si>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</si>
  <si>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</si>
  <si>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</si>
  <si>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</si>
  <si>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</si>
  <si>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</si>
  <si>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</si>
  <si>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</si>
  <si>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</si>
  <si>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</si>
  <si>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</si>
  <si>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</si>
  <si>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</si>
  <si>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</si>
  <si>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</si>
  <si>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</si>
  <si>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</si>
  <si>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</si>
  <si>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</si>
  <si>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</si>
  <si>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</si>
  <si>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</si>
  <si>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</si>
  <si>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</si>
  <si>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</si>
  <si>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</si>
  <si>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</si>
  <si>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</si>
  <si>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</si>
  <si>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</si>
  <si>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</si>
  <si>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</si>
  <si>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</si>
  <si>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</si>
  <si>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</si>
  <si>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</si>
  <si>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</si>
  <si>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</si>
  <si>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</si>
  <si>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</si>
  <si>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</si>
  <si>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</si>
  <si>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</si>
  <si>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</si>
  <si>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</si>
  <si>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</si>
  <si>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</si>
  <si>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</si>
  <si>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</si>
  <si>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</si>
  <si>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</si>
  <si>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</si>
  <si>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</si>
  <si>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</si>
  <si>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</si>
  <si>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</si>
  <si>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</si>
  <si>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</si>
  <si>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</si>
  <si>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</si>
  <si>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</si>
  <si>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</si>
  <si>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</si>
  <si>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</si>
  <si>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</si>
  <si>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</si>
  <si>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</si>
  <si>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</si>
  <si>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</si>
  <si>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</si>
  <si>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</si>
  <si>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</si>
  <si>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</si>
  <si>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</si>
  <si>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</si>
  <si>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</si>
  <si>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</si>
  <si>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</si>
  <si>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</si>
  <si>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</si>
  <si>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</si>
  <si>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</si>
  <si>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</si>
  <si>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</si>
  <si>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</si>
  <si>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</si>
  <si>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</si>
  <si>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</si>
  <si>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</si>
  <si>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</si>
  <si>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</si>
  <si>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</si>
  <si>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</si>
  <si>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</si>
  <si>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</si>
  <si>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</si>
  <si>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</si>
  <si>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</si>
  <si>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</si>
  <si>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</si>
  <si>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</si>
  <si>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</si>
  <si>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</si>
  <si>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</si>
  <si>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</si>
  <si>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</si>
  <si>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</si>
  <si>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</si>
  <si>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</si>
  <si>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</si>
  <si>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</si>
  <si>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</si>
  <si>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</si>
  <si>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</si>
  <si>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</si>
  <si>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</si>
  <si>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</si>
  <si>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</si>
  <si>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</si>
  <si>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</si>
  <si>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</si>
  <si>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</si>
  <si>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</si>
  <si>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</si>
  <si>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</si>
  <si>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</si>
  <si>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</si>
  <si>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</si>
  <si>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</si>
  <si>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</si>
  <si>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</si>
  <si>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</si>
  <si>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</si>
  <si>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</si>
  <si>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</si>
  <si>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</si>
  <si>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</si>
  <si>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</si>
  <si>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</si>
  <si>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</si>
  <si>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</si>
  <si>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</si>
  <si>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</si>
  <si>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</si>
  <si>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</si>
  <si>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</si>
  <si>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</si>
  <si>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</si>
  <si>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</si>
  <si>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</si>
  <si>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</si>
  <si>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</si>
  <si>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</si>
  <si>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</si>
  <si>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</si>
  <si>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</si>
  <si>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</si>
  <si>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</si>
  <si>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</si>
  <si>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</si>
  <si>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</si>
  <si>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</si>
  <si>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</si>
  <si>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</si>
  <si>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</si>
  <si>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</si>
  <si>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</si>
  <si>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</si>
  <si>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</si>
  <si>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</si>
  <si>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</si>
  <si>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</si>
  <si>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</si>
  <si>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</si>
  <si>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</si>
  <si>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</si>
  <si>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</si>
  <si>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</si>
  <si>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</si>
  <si>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</si>
  <si>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</si>
  <si>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</si>
  <si>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</si>
  <si>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</si>
  <si>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</si>
  <si>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</si>
  <si>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</si>
  <si>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</si>
  <si>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</si>
  <si>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</si>
  <si>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</si>
  <si>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</si>
  <si>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</si>
  <si>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</si>
  <si>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</si>
  <si>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</si>
  <si>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</si>
  <si>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</si>
  <si>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</si>
  <si>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</si>
  <si>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</si>
  <si>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</si>
  <si>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</si>
  <si>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</si>
  <si>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</si>
  <si>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</si>
  <si>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</si>
  <si>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</si>
  <si>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</si>
  <si>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</si>
  <si>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</si>
  <si>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</si>
  <si>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</si>
  <si>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</si>
  <si>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</si>
  <si>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</si>
  <si>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</si>
  <si>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</si>
  <si>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</si>
  <si>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</si>
  <si>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</si>
  <si>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</si>
  <si>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</si>
  <si>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</si>
  <si>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</si>
  <si>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</si>
  <si>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</si>
  <si>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</si>
  <si>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</si>
  <si>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</si>
  <si>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</si>
  <si>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</si>
  <si>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</si>
  <si>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</si>
  <si>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</si>
  <si>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</si>
  <si>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</si>
  <si>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</si>
  <si>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</si>
  <si>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</si>
  <si>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</si>
  <si>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</si>
  <si>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</si>
  <si>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</si>
  <si>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</si>
  <si>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</si>
  <si>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</si>
  <si>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</si>
  <si>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</si>
  <si>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</si>
  <si>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</si>
  <si>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</si>
  <si>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</si>
  <si>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</si>
  <si>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</si>
  <si>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</si>
  <si>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</si>
  <si>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</si>
  <si>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</si>
  <si>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</si>
  <si>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</si>
  <si>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</si>
  <si>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</si>
  <si>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</si>
  <si>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</si>
  <si>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</si>
  <si>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</si>
  <si>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</si>
  <si>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</si>
  <si>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</si>
  <si>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</si>
  <si>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</si>
  <si>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</si>
  <si>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</si>
  <si>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</si>
  <si>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</si>
  <si>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</si>
  <si>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</si>
  <si>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</si>
  <si>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</si>
  <si>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</si>
  <si>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</si>
  <si>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</si>
  <si>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</si>
  <si>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</si>
  <si>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</si>
  <si>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</si>
  <si>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</si>
  <si>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</si>
  <si>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</si>
  <si>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</si>
  <si>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</si>
  <si>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</si>
  <si>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</si>
  <si>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</si>
  <si>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</si>
  <si>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</si>
  <si>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</si>
  <si>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</si>
  <si>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</si>
  <si>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</si>
  <si>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</si>
  <si>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</si>
  <si>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</si>
  <si>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</si>
  <si>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</si>
  <si>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</si>
  <si>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</si>
  <si>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</si>
  <si>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</si>
  <si>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</si>
  <si>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</si>
  <si>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</si>
  <si>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</si>
  <si>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</si>
  <si>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</si>
  <si>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</si>
  <si>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</si>
  <si>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</si>
  <si>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</si>
  <si>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</si>
  <si>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</si>
  <si>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</si>
  <si>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</si>
  <si>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</si>
  <si>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</si>
  <si>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</si>
  <si>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</si>
  <si>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</si>
  <si>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</si>
  <si>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</si>
  <si>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</si>
  <si>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</si>
  <si>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</si>
  <si>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</si>
  <si>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</si>
  <si>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</si>
  <si>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</si>
  <si>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</si>
  <si>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</si>
  <si>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</si>
  <si>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</si>
  <si>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</si>
  <si>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</si>
  <si>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</si>
  <si>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</si>
  <si>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</si>
  <si>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</si>
  <si>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</si>
  <si>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</si>
  <si>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</si>
  <si>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</si>
  <si>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</si>
  <si>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</si>
  <si>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</si>
  <si>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</si>
  <si>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</si>
  <si>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</si>
  <si>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</si>
  <si>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</si>
  <si>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</si>
  <si>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</si>
  <si>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</si>
  <si>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</si>
  <si>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</si>
  <si>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</si>
  <si>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</si>
  <si>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</si>
  <si>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</si>
  <si>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</si>
  <si>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</si>
  <si>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</si>
  <si>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</si>
  <si>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</si>
  <si>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</si>
  <si>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</si>
  <si>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</si>
  <si>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</si>
  <si>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</si>
  <si>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</si>
  <si>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</si>
  <si>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</si>
  <si>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</si>
  <si>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</si>
  <si>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</si>
  <si>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</si>
  <si>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</si>
  <si>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</si>
  <si>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</si>
  <si>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</si>
  <si>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</si>
  <si>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</si>
  <si>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</si>
  <si>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</si>
  <si>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</si>
  <si>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</si>
  <si>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</si>
  <si>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</si>
  <si>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</si>
  <si>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</si>
  <si>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</si>
  <si>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</si>
  <si>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</si>
  <si>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</si>
  <si>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</si>
  <si>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</si>
  <si>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</si>
  <si>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</si>
  <si>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</si>
  <si>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</si>
  <si>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</si>
  <si>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</si>
  <si>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</si>
  <si>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</si>
  <si>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</si>
  <si>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</si>
  <si>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</si>
  <si>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</si>
  <si>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</si>
  <si>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</si>
  <si>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</si>
  <si>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</si>
  <si>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</si>
  <si>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</si>
  <si>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</si>
  <si>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</si>
  <si>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</si>
  <si>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</si>
  <si>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</si>
  <si>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</si>
  <si>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</si>
  <si>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</si>
  <si>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</si>
  <si>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</si>
  <si>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</si>
  <si>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</si>
  <si>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</si>
  <si>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</si>
  <si>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</si>
  <si>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</si>
  <si>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</si>
  <si>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</si>
  <si>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</si>
  <si>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</si>
  <si>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</si>
  <si>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</si>
  <si>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</si>
  <si>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</si>
  <si>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</si>
  <si>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</si>
  <si>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</si>
  <si>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</si>
  <si>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</si>
  <si>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</si>
  <si>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</si>
  <si>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</si>
  <si>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</si>
  <si>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</si>
  <si>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</si>
  <si>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</si>
  <si>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</si>
  <si>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</si>
  <si>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</si>
  <si>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</si>
  <si>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</si>
  <si>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</si>
  <si>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</si>
  <si>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</si>
  <si>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</si>
  <si>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</si>
  <si>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</si>
  <si>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</si>
  <si>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</si>
  <si>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</si>
  <si>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</si>
  <si>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</si>
  <si>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</si>
  <si>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</si>
  <si>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</si>
  <si>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</si>
  <si>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</si>
  <si>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</si>
  <si>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</si>
  <si>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</si>
  <si>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</si>
  <si>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</si>
  <si>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</si>
  <si>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</si>
  <si>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</si>
  <si>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</si>
  <si>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</si>
  <si>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</si>
  <si>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</si>
  <si>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</si>
  <si>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</si>
  <si>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</si>
  <si>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</si>
  <si>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</si>
  <si>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</si>
  <si>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</si>
  <si>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</si>
  <si>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</si>
  <si>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</si>
  <si>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</si>
  <si>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</si>
  <si>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</si>
  <si>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</si>
  <si>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</si>
  <si>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</si>
  <si>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</si>
  <si>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</si>
  <si>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</si>
  <si>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</si>
  <si>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</si>
  <si>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</si>
  <si>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</si>
  <si>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</si>
  <si>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</si>
  <si>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</si>
  <si>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</si>
  <si>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</si>
  <si>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</si>
  <si>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</si>
  <si>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</si>
  <si>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</si>
  <si>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</si>
  <si>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</si>
  <si>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</si>
  <si>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</si>
  <si>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</si>
  <si>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</si>
  <si>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</si>
  <si>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</si>
  <si>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</si>
  <si>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</si>
  <si>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</si>
  <si>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</si>
  <si>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</si>
  <si>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</si>
  <si>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</si>
  <si>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</si>
  <si>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</si>
  <si>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</si>
  <si>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</si>
  <si>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</si>
  <si>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</si>
  <si>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</si>
  <si>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</si>
  <si>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</si>
  <si>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</si>
  <si>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</si>
  <si>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</si>
  <si>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</si>
  <si>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</si>
  <si>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</si>
  <si>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</si>
  <si>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</si>
  <si>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</si>
  <si>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</si>
  <si>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</si>
  <si>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</si>
  <si>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</si>
  <si>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</si>
  <si>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</si>
  <si>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</si>
  <si>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</si>
  <si>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</si>
  <si>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</si>
  <si>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</si>
  <si>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</si>
  <si>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</si>
  <si>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</si>
  <si>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</si>
  <si>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</si>
  <si>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</si>
  <si>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</si>
  <si>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</si>
  <si>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</si>
  <si>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</si>
  <si>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</si>
  <si>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</si>
  <si>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</si>
  <si>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</si>
  <si>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</si>
  <si>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</si>
  <si>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</si>
  <si>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</si>
  <si>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</si>
  <si>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</si>
  <si>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</si>
  <si>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</si>
  <si>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</si>
  <si>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</si>
  <si>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</si>
  <si>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</si>
  <si>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</si>
  <si>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</si>
  <si>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</si>
  <si>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</si>
  <si>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</si>
  <si>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</si>
  <si>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</si>
  <si>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</si>
  <si>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</si>
  <si>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</si>
  <si>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</si>
  <si>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</si>
  <si>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</si>
  <si>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</si>
  <si>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</si>
  <si>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</si>
  <si>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</si>
  <si>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</si>
  <si>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</si>
  <si>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</si>
  <si>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</si>
  <si>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</si>
  <si>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</si>
  <si>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</si>
  <si>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</si>
  <si>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</si>
  <si>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</si>
  <si>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</si>
  <si>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</si>
  <si>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</si>
  <si>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</si>
  <si>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</si>
  <si>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</si>
  <si>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</si>
  <si>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</si>
  <si>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</si>
  <si>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</si>
  <si>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</si>
  <si>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</si>
  <si>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</si>
  <si>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</si>
  <si>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</si>
  <si>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</si>
  <si>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</si>
  <si>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</si>
  <si>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</si>
  <si>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</si>
  <si>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</si>
  <si>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</si>
  <si>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</si>
  <si>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</si>
  <si>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</si>
  <si>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</si>
  <si>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</si>
  <si>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</si>
  <si>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</si>
  <si>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</si>
  <si>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</si>
  <si>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</si>
  <si>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</si>
  <si>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</si>
  <si>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</si>
  <si>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</si>
  <si>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</si>
  <si>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</si>
  <si>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</si>
  <si>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</si>
  <si>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</si>
  <si>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</si>
  <si>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</si>
  <si>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</si>
  <si>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</si>
  <si>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</si>
  <si>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</si>
  <si>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</si>
  <si>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</si>
  <si>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</si>
  <si>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</si>
  <si>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</si>
  <si>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</si>
  <si>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</si>
  <si>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</si>
  <si>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</si>
  <si>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</si>
  <si>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</si>
  <si>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</si>
  <si>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</si>
  <si>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</si>
  <si>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</si>
  <si>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</si>
  <si>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</si>
  <si>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</si>
  <si>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</si>
  <si>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</si>
  <si>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</si>
  <si>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</si>
  <si>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</si>
  <si>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</si>
  <si>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</si>
  <si>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</si>
  <si>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</si>
  <si>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</si>
  <si>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</si>
  <si>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</si>
  <si>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</si>
  <si>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</si>
  <si>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</si>
  <si>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</si>
  <si>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</si>
  <si>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</si>
  <si>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</si>
  <si>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</si>
  <si>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</si>
  <si>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</si>
  <si>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</si>
  <si>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</si>
  <si>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</si>
  <si>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</si>
  <si>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</si>
  <si>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</si>
  <si>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</si>
  <si>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</si>
  <si>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</si>
  <si>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</si>
  <si>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</si>
  <si>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</si>
  <si>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</si>
  <si>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</si>
  <si>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</si>
  <si>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</si>
  <si>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</si>
  <si>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</si>
  <si>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</si>
  <si>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</si>
  <si>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</si>
  <si>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</si>
  <si>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</si>
  <si>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</si>
  <si>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</si>
  <si>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</si>
  <si>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</si>
  <si>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</si>
  <si>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</si>
  <si>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</si>
  <si>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</si>
  <si>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</si>
  <si>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</si>
  <si>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</si>
  <si>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</si>
  <si>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</si>
  <si>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</si>
  <si>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</si>
  <si>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</si>
  <si>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</si>
  <si>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</si>
  <si>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</si>
  <si>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</si>
  <si>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</si>
  <si>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</si>
  <si>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</si>
  <si>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</si>
  <si>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</si>
  <si>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</si>
  <si>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</si>
  <si>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</si>
  <si>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</si>
  <si>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</si>
  <si>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</si>
  <si>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</si>
  <si>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</si>
  <si>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</si>
  <si>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</si>
  <si>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</si>
  <si>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</si>
  <si>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</si>
  <si>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</si>
  <si>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</si>
  <si>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</si>
  <si>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</si>
  <si>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</si>
  <si>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</si>
  <si>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</si>
  <si>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</si>
  <si>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</si>
  <si>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</si>
  <si>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</si>
  <si>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</si>
  <si>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</si>
  <si>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</si>
  <si>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</si>
  <si>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</si>
  <si>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</si>
  <si>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</si>
  <si>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</si>
  <si>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</si>
  <si>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</si>
  <si>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</si>
  <si>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</si>
  <si>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</si>
  <si>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</si>
  <si>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</si>
  <si>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</si>
  <si>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</si>
  <si>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</si>
  <si>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</si>
  <si>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</si>
  <si>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</si>
  <si>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</si>
  <si>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</si>
  <si>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</si>
  <si>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</si>
  <si>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</si>
  <si>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</si>
  <si>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</si>
  <si>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</si>
  <si>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</si>
  <si>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</si>
  <si>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</si>
  <si>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</si>
  <si>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</si>
  <si>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</si>
  <si>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</si>
  <si>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</si>
  <si>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</si>
  <si>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</si>
  <si>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</si>
  <si>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</si>
  <si>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</si>
  <si>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</si>
  <si>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</si>
  <si>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</si>
  <si>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</si>
  <si>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</si>
  <si>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</si>
  <si>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</si>
  <si>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</si>
  <si>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</si>
  <si>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</si>
  <si>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</si>
  <si>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</si>
  <si>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</si>
  <si>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</si>
  <si>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</si>
  <si>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</si>
  <si>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</si>
  <si>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</si>
  <si>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</si>
  <si>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</si>
  <si>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</si>
  <si>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</si>
  <si>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</si>
  <si>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</si>
  <si>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</si>
  <si>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</si>
  <si>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</si>
  <si>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</si>
  <si>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</si>
  <si>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</si>
  <si>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</si>
  <si>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</si>
  <si>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</si>
  <si>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</si>
  <si>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</si>
  <si>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</si>
  <si>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</si>
  <si>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</si>
  <si>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</si>
  <si>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</si>
  <si>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</si>
  <si>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</si>
  <si>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</si>
  <si>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</si>
  <si>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</si>
  <si>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</si>
  <si>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</si>
  <si>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</si>
  <si>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</si>
  <si>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</si>
  <si>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</si>
  <si>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</si>
  <si>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</si>
  <si>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</si>
  <si>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</si>
  <si>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</si>
  <si>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</si>
  <si>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</si>
  <si>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</si>
  <si>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</si>
  <si>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</si>
  <si>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</si>
  <si>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</si>
  <si>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</si>
  <si>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</si>
  <si>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</si>
  <si>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</si>
  <si>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</si>
  <si>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</si>
  <si>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</si>
  <si>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</si>
  <si>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</si>
  <si>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</si>
  <si>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</si>
  <si>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</si>
  <si>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</si>
  <si>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</si>
  <si>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</si>
  <si>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</si>
  <si>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</si>
  <si>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</si>
  <si>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</si>
  <si>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</si>
  <si>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</si>
  <si>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</si>
  <si>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</si>
  <si>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</si>
  <si>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</si>
  <si>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</si>
  <si>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</si>
  <si>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</si>
  <si>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</si>
  <si>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</si>
  <si>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</si>
  <si>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</si>
  <si>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</si>
  <si>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</si>
  <si>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</si>
  <si>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</si>
  <si>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</si>
  <si>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</si>
  <si>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</si>
  <si>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</si>
  <si>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</si>
  <si>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</si>
  <si>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</si>
  <si>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</si>
  <si>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</si>
  <si>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</si>
  <si>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</si>
  <si>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</si>
  <si>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</si>
  <si>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</si>
  <si>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</si>
  <si>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</si>
  <si>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</si>
  <si>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</si>
  <si>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</si>
  <si>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</si>
  <si>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</si>
  <si>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</si>
  <si>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</si>
  <si>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</si>
  <si>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</si>
  <si>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</si>
  <si>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</si>
  <si>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</si>
  <si>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</si>
  <si>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</si>
  <si>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</si>
  <si>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</si>
  <si>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</si>
  <si>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</si>
  <si>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</si>
  <si>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</si>
  <si>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</si>
  <si>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</si>
  <si>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</si>
  <si>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</si>
  <si>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</si>
  <si>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</si>
  <si>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</si>
  <si>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</si>
  <si>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</si>
  <si>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</si>
  <si>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</si>
  <si>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</si>
  <si>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</si>
  <si>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</si>
  <si>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</si>
  <si>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</si>
  <si>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</si>
  <si>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</si>
  <si>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</si>
  <si>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</si>
  <si>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</si>
  <si>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</si>
  <si>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</si>
  <si>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</si>
  <si>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</si>
  <si>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</si>
  <si>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</si>
  <si>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</si>
  <si>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</si>
  <si>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</si>
  <si>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</si>
  <si>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</si>
  <si>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</si>
  <si>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</si>
  <si>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</si>
  <si>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</si>
  <si>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</si>
  <si>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</si>
  <si>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</si>
  <si>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</si>
  <si>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</si>
  <si>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</si>
  <si>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</si>
  <si>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</si>
  <si>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</si>
  <si>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</si>
  <si>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</si>
  <si>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</si>
  <si>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</si>
  <si>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</si>
  <si>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</si>
  <si>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</si>
  <si>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</si>
  <si>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</si>
  <si>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</si>
  <si>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</si>
  <si>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</si>
  <si>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</si>
  <si>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</si>
  <si>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</si>
  <si>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</si>
  <si>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</si>
  <si>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</si>
  <si>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</si>
  <si>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</si>
  <si>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</si>
  <si>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</si>
  <si>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</si>
  <si>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</si>
  <si>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</si>
  <si>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</si>
  <si>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</si>
  <si>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</si>
  <si>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</si>
  <si>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</si>
  <si>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</si>
  <si>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</si>
  <si>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</si>
  <si>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</si>
  <si>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</si>
  <si>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</si>
  <si>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</si>
  <si>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</si>
  <si>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</si>
  <si>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</si>
  <si>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</si>
  <si>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</si>
  <si>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</si>
  <si>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</si>
  <si>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</si>
  <si>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</si>
  <si>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</si>
  <si>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</si>
  <si>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</si>
  <si>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</si>
  <si>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</si>
  <si>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</si>
  <si>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</si>
  <si>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</si>
  <si>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</si>
  <si>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</si>
  <si>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</si>
  <si>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</si>
  <si>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</si>
  <si>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</si>
  <si>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</si>
  <si>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</si>
  <si>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</si>
  <si>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</si>
  <si>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</si>
  <si>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</si>
  <si>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</si>
  <si>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</si>
  <si>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</si>
  <si>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</si>
  <si>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</si>
  <si>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</si>
  <si>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</si>
  <si>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</si>
  <si>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</si>
  <si>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</si>
  <si>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</si>
  <si>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</si>
  <si>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</si>
  <si>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</si>
  <si>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</si>
  <si>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</si>
  <si>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</si>
  <si>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</si>
  <si>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</si>
  <si>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</si>
  <si>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</si>
  <si>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</si>
  <si>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</si>
  <si>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</si>
  <si>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</si>
  <si>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</si>
  <si>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</si>
  <si>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</si>
  <si>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</si>
  <si>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</si>
  <si>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</si>
  <si>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</si>
  <si>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</si>
  <si>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</si>
  <si>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</si>
  <si>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</si>
  <si>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</si>
  <si>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</si>
  <si>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</si>
  <si>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</si>
  <si>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</si>
  <si>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</si>
  <si>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</si>
  <si>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</si>
  <si>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</si>
  <si>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</si>
  <si>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</si>
  <si>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</si>
  <si>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</si>
  <si>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</si>
  <si>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</si>
  <si>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</si>
  <si>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</si>
  <si>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</si>
  <si>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</si>
  <si>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</si>
  <si>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</si>
  <si>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</si>
  <si>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</si>
  <si>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</si>
  <si>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</si>
  <si>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</si>
  <si>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</si>
  <si>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</si>
  <si>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</si>
  <si>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</si>
  <si>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</si>
  <si>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</si>
  <si>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</si>
  <si>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</si>
  <si>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</si>
  <si>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</si>
  <si>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</si>
  <si>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</si>
  <si>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</si>
  <si>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</si>
  <si>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</si>
  <si>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</si>
  <si>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</si>
  <si>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</si>
  <si>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</si>
  <si>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</si>
  <si>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</si>
  <si>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</si>
  <si>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</si>
  <si>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</si>
  <si>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</si>
  <si>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</si>
  <si>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</si>
  <si>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</si>
  <si>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</si>
  <si>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</si>
  <si>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</si>
  <si>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</si>
  <si>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</si>
  <si>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</si>
  <si>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</si>
  <si>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</si>
  <si>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</si>
  <si>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</si>
  <si>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</si>
  <si>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</si>
  <si>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</si>
  <si>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</si>
  <si>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</si>
  <si>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</si>
  <si>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</si>
  <si>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</si>
  <si>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</si>
  <si>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</si>
  <si>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</si>
  <si>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</si>
  <si>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</si>
  <si>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</si>
  <si>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</si>
  <si>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</si>
  <si>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</si>
  <si>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</si>
  <si>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</si>
  <si>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</si>
  <si>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</si>
  <si>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</si>
  <si>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</si>
  <si>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</si>
  <si>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</si>
  <si>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</si>
  <si>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</si>
  <si>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</si>
  <si>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</si>
  <si>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</si>
  <si>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</si>
  <si>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</si>
  <si>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</si>
  <si>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</si>
  <si>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</si>
  <si>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</si>
  <si>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</si>
  <si>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</si>
  <si>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</si>
  <si>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</si>
  <si>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</si>
  <si>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</si>
  <si>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</si>
  <si>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</si>
  <si>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</si>
  <si>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</si>
  <si>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</si>
  <si>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</si>
  <si>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</si>
  <si>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</si>
  <si>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</si>
  <si>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</si>
  <si>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</si>
  <si>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</si>
  <si>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</si>
  <si>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</si>
  <si>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</si>
  <si>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</si>
  <si>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</si>
  <si>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</si>
  <si>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</si>
  <si>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</si>
  <si>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</si>
  <si>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</si>
  <si>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</si>
  <si>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</si>
  <si>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</si>
  <si>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</si>
  <si>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</si>
  <si>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</si>
  <si>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</si>
  <si>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</si>
  <si>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</si>
  <si>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</si>
  <si>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</si>
  <si>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</si>
  <si>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</si>
  <si>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</si>
  <si>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</si>
  <si>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</si>
  <si>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</si>
  <si>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</si>
  <si>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</si>
  <si>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</si>
  <si>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</si>
  <si>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</si>
  <si>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</si>
  <si>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</si>
  <si>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</si>
  <si>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</si>
  <si>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</si>
  <si>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</si>
  <si>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</si>
  <si>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</si>
  <si>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</si>
  <si>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</si>
  <si>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</si>
  <si>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</si>
  <si>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</si>
  <si>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</si>
  <si>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</si>
  <si>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</si>
  <si>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</si>
  <si>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</si>
  <si>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</si>
  <si>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</si>
  <si>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</si>
  <si>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</si>
  <si>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</si>
  <si>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</si>
  <si>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</si>
  <si>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</si>
  <si>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</si>
  <si>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</si>
  <si>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</si>
  <si>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</si>
  <si>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</si>
  <si>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</si>
  <si>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</si>
  <si>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</si>
  <si>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</si>
  <si>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</si>
  <si>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</si>
  <si>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</si>
  <si>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</si>
  <si>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</si>
  <si>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</si>
  <si>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</si>
  <si>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</si>
  <si>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</si>
  <si>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</si>
  <si>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</si>
  <si>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</si>
  <si>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</si>
  <si>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</si>
  <si>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</si>
  <si>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</si>
  <si>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</si>
  <si>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</si>
  <si>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</si>
  <si>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</si>
  <si>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</si>
  <si>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</si>
  <si>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</si>
  <si>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</si>
  <si>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</si>
  <si>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</si>
  <si>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</si>
  <si>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</si>
  <si>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</si>
  <si>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</si>
  <si>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</si>
  <si>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</si>
  <si>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</si>
  <si>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</si>
  <si>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</si>
  <si>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</si>
  <si>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</si>
  <si>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</si>
  <si>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</si>
  <si>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</si>
  <si>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</si>
  <si>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</si>
  <si>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</si>
  <si>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</si>
  <si>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</si>
  <si>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</si>
  <si>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</si>
  <si>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</si>
  <si>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</si>
  <si>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</si>
  <si>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</si>
  <si>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</si>
  <si>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</si>
  <si>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</si>
  <si>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</si>
  <si>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</si>
  <si>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</si>
  <si>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</si>
  <si>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</si>
  <si>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</si>
  <si>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</si>
  <si>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</si>
  <si>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</si>
  <si>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</si>
  <si>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</si>
  <si>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</si>
  <si>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</si>
  <si>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</si>
  <si>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</si>
  <si>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</si>
  <si>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</si>
  <si>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</si>
  <si>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</si>
  <si>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</si>
  <si>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</si>
  <si>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</si>
  <si>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</si>
  <si>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</si>
  <si>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</si>
  <si>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</si>
  <si>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</si>
  <si>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</si>
  <si>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</si>
  <si>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</si>
  <si>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</si>
  <si>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</si>
  <si>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</si>
  <si>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</si>
  <si>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</si>
  <si>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</si>
  <si>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</si>
  <si>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</si>
  <si>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</si>
  <si>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</si>
  <si>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</si>
  <si>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</si>
  <si>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</si>
  <si>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</si>
  <si>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</si>
  <si>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</si>
  <si>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</si>
  <si>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</si>
  <si>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</si>
  <si>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</si>
  <si>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</si>
  <si>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</si>
  <si>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</si>
  <si>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</si>
  <si>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</si>
  <si>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</si>
  <si>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</si>
  <si>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</si>
  <si>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</si>
  <si>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</si>
  <si>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</si>
  <si>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</si>
  <si>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</si>
  <si>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</si>
  <si>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</si>
  <si>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</si>
  <si>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</si>
  <si>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</si>
  <si>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</si>
  <si>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</si>
  <si>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</si>
  <si>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</si>
  <si>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</si>
  <si>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</si>
  <si>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</si>
  <si>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</si>
  <si>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</si>
  <si>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</si>
  <si>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</si>
  <si>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</si>
  <si>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</si>
  <si>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</si>
  <si>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</si>
  <si>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</si>
  <si>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</si>
  <si>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</si>
  <si>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</si>
  <si>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</si>
  <si>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</si>
  <si>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</si>
  <si>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</si>
  <si>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</si>
  <si>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</si>
  <si>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</si>
  <si>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</si>
  <si>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</si>
  <si>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</si>
  <si>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</si>
  <si>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</si>
  <si>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</si>
  <si>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</si>
  <si>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</si>
  <si>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</si>
  <si>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</si>
  <si>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</si>
  <si>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</si>
  <si>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</si>
  <si>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</si>
  <si>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</si>
  <si>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</si>
  <si>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</si>
  <si>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</si>
  <si>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</si>
  <si>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</si>
  <si>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</si>
  <si>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</si>
  <si>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</si>
  <si>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</si>
  <si>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</si>
  <si>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</si>
  <si>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</si>
  <si>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</si>
  <si>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</si>
  <si>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</si>
  <si>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</si>
  <si>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</si>
  <si>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</si>
  <si>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</si>
  <si>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</si>
  <si>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</si>
  <si>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</si>
  <si>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</si>
  <si>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</si>
  <si>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</si>
  <si>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</si>
  <si>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</si>
  <si>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</si>
  <si>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</si>
  <si>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</si>
  <si>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</si>
  <si>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</si>
  <si>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</si>
  <si>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</si>
  <si>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</si>
  <si>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</si>
  <si>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</si>
  <si>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</si>
  <si>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</si>
  <si>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</si>
  <si>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</si>
  <si>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</si>
  <si>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</si>
  <si>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</si>
  <si>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</si>
  <si>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</si>
  <si>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</si>
  <si>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</si>
  <si>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</si>
  <si>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</si>
  <si>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</si>
  <si>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</si>
  <si>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</si>
  <si>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</si>
  <si>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</si>
  <si>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</si>
  <si>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</si>
  <si>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</si>
  <si>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</si>
  <si>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</si>
  <si>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</si>
  <si>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</si>
  <si>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</si>
  <si>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</si>
  <si>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</si>
  <si>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</si>
  <si>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</si>
  <si>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</si>
  <si>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</si>
  <si>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</si>
  <si>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</si>
  <si>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</si>
  <si>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</si>
  <si>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</si>
  <si>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</si>
  <si>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</si>
  <si>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</si>
  <si>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</si>
  <si>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</si>
  <si>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</si>
  <si>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</si>
  <si>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</si>
  <si>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</si>
  <si>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</si>
  <si>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</si>
  <si>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</si>
  <si>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</si>
  <si>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</si>
  <si>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</si>
  <si>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</si>
  <si>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</si>
  <si>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</si>
  <si>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</si>
  <si>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</si>
  <si>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</si>
  <si>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</si>
  <si>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</si>
  <si>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</si>
  <si>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</si>
  <si>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</si>
  <si>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</si>
  <si>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</si>
  <si>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</si>
  <si>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</si>
  <si>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</si>
  <si>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</si>
  <si>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</si>
  <si>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</si>
  <si>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</si>
  <si>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</si>
  <si>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</si>
  <si>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</si>
  <si>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</si>
  <si>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</si>
  <si>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</si>
  <si>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</si>
  <si>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</si>
  <si>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</si>
  <si>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</si>
  <si>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</si>
  <si>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</si>
  <si>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</si>
  <si>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</si>
  <si>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</si>
  <si>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</si>
  <si>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</si>
  <si>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</si>
  <si>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</si>
  <si>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</si>
  <si>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</si>
  <si>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</si>
  <si>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</si>
  <si>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</si>
  <si>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</si>
  <si>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</si>
  <si>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</si>
  <si>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</si>
  <si>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</si>
  <si>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</si>
  <si>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</si>
  <si>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</si>
  <si>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</si>
  <si>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</si>
  <si>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</si>
  <si>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</si>
  <si>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</si>
  <si>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</si>
  <si>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</si>
  <si>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</si>
  <si>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</si>
  <si>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</si>
  <si>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</si>
  <si>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</si>
  <si>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</si>
  <si>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</si>
  <si>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</si>
  <si>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</si>
  <si>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</si>
  <si>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</si>
  <si>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</si>
  <si>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</si>
  <si>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</si>
  <si>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</si>
  <si>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</si>
  <si>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</si>
  <si>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</si>
  <si>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</si>
  <si>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</si>
  <si>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</si>
  <si>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</si>
  <si>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</si>
  <si>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</si>
  <si>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</si>
  <si>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</si>
  <si>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</si>
  <si>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</si>
  <si>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</si>
  <si>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</si>
  <si>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</si>
  <si>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</si>
  <si>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</si>
  <si>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</si>
  <si>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</si>
  <si>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</si>
  <si>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</si>
  <si>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</si>
  <si>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</si>
  <si>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</si>
  <si>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</si>
  <si>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</si>
  <si>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</si>
  <si>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</si>
  <si>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</si>
  <si>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</si>
  <si>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</si>
  <si>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</si>
  <si>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</si>
  <si>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</si>
  <si>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</si>
  <si>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</si>
  <si>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</si>
  <si>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</si>
  <si>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</si>
  <si>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</si>
  <si>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</si>
  <si>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</si>
  <si>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</si>
  <si>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</si>
  <si>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</si>
  <si>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</si>
  <si>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</si>
  <si>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</si>
  <si>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</si>
  <si>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</si>
  <si>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</si>
  <si>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</si>
  <si>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</si>
  <si>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</si>
  <si>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</si>
  <si>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</si>
  <si>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</si>
  <si>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</si>
  <si>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</si>
  <si>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</si>
  <si>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</si>
  <si>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</si>
  <si>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</si>
  <si>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</si>
  <si>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</si>
  <si>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</si>
  <si>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</si>
  <si>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</si>
  <si>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</si>
  <si>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</si>
  <si>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</si>
  <si>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</si>
  <si>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</si>
  <si>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</si>
  <si>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</si>
  <si>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</si>
  <si>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</si>
  <si>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</si>
  <si>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</si>
  <si>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</si>
  <si>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</si>
  <si>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</si>
  <si>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</si>
  <si>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</si>
  <si>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</si>
  <si>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</si>
  <si>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</si>
  <si>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</si>
  <si>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</si>
  <si>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</si>
  <si>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</si>
  <si>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</si>
  <si>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</si>
  <si>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</si>
  <si>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</si>
  <si>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</si>
  <si>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</si>
  <si>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</si>
  <si>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</si>
  <si>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</si>
  <si>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</si>
  <si>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</si>
  <si>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</si>
  <si>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</si>
  <si>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</si>
  <si>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</si>
  <si>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</si>
  <si>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</si>
  <si>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</si>
  <si>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</si>
  <si>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</si>
  <si>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</si>
  <si>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</si>
  <si>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</si>
  <si>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</si>
  <si>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</si>
  <si>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</si>
  <si>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</si>
  <si>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</si>
  <si>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</si>
  <si>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</si>
  <si>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</si>
  <si>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</si>
  <si>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</si>
  <si>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</si>
  <si>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</si>
  <si>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</si>
  <si>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</si>
  <si>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</si>
  <si>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</si>
  <si>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</si>
  <si>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</si>
  <si>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</si>
  <si>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</si>
  <si>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</si>
  <si>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</si>
  <si>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</si>
  <si>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</si>
  <si>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</si>
  <si>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</si>
  <si>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</si>
  <si>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</si>
  <si>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</si>
  <si>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</si>
  <si>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</si>
  <si>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</si>
  <si>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</si>
  <si>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</si>
  <si>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</si>
  <si>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</si>
  <si>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</si>
  <si>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</si>
  <si>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</si>
  <si>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</si>
  <si>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</si>
  <si>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</si>
  <si>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</si>
  <si>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</si>
  <si>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</si>
  <si>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</si>
  <si>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</si>
  <si>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</si>
  <si>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</si>
  <si>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</si>
  <si>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</si>
  <si>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</si>
  <si>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</si>
  <si>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</si>
  <si>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</si>
  <si>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</si>
  <si>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</si>
  <si>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</si>
  <si>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</si>
  <si>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</si>
  <si>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</si>
  <si>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</si>
  <si>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</si>
  <si>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</si>
  <si>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</si>
  <si>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</si>
  <si>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</si>
  <si>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</si>
  <si>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</si>
  <si>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</si>
  <si>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</si>
  <si>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</si>
  <si>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</si>
  <si>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</si>
  <si>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</si>
  <si>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</si>
  <si>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</si>
  <si>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</si>
  <si>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</si>
  <si>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</si>
  <si>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</si>
  <si>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</si>
  <si>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</si>
  <si>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</si>
  <si>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</si>
  <si>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</si>
  <si>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</si>
  <si>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</si>
  <si>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</si>
  <si>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</si>
  <si>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</si>
  <si>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</si>
  <si>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</si>
  <si>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</si>
  <si>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</si>
  <si>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</si>
  <si>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</si>
  <si>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</si>
  <si>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</si>
  <si>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</si>
  <si>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</si>
  <si>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</si>
  <si>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</si>
  <si>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</si>
  <si>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</si>
  <si>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</si>
  <si>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</si>
  <si>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</si>
  <si>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</si>
  <si>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</si>
  <si>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</si>
  <si>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</si>
  <si>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</si>
  <si>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</si>
  <si>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</si>
  <si>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</si>
  <si>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</si>
  <si>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</si>
  <si>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</si>
  <si>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</si>
  <si>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</si>
  <si>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</si>
  <si>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</si>
  <si>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</si>
  <si>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</si>
  <si>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</si>
  <si>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</si>
  <si>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</si>
  <si>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</si>
  <si>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</si>
  <si>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</si>
  <si>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</si>
  <si>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</si>
  <si>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</si>
  <si>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</si>
  <si>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</si>
  <si>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</si>
  <si>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</si>
  <si>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</si>
  <si>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</si>
  <si>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</si>
  <si>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</si>
  <si>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</si>
  <si>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</si>
  <si>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</si>
  <si>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</si>
  <si>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</si>
  <si>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</si>
  <si>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</si>
  <si>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</si>
  <si>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</si>
  <si>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</si>
  <si>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</si>
  <si>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</si>
  <si>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</si>
  <si>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</si>
  <si>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</si>
  <si>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</si>
  <si>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</si>
  <si>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</si>
  <si>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</si>
  <si>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</si>
  <si>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</si>
  <si>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</si>
  <si>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</si>
  <si>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</si>
  <si>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</si>
  <si>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</si>
  <si>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</si>
  <si>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</si>
  <si>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</si>
  <si>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</si>
  <si>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</si>
  <si>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</si>
  <si>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</si>
  <si>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</si>
  <si>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</si>
  <si>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</si>
  <si>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</si>
  <si>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</si>
  <si>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</si>
  <si>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</si>
  <si>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</si>
  <si>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</si>
  <si>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</si>
  <si>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</si>
  <si>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</si>
  <si>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</si>
  <si>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</si>
  <si>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</si>
  <si>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</si>
  <si>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</si>
  <si>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</si>
  <si>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</si>
  <si>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</si>
  <si>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</si>
  <si>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</si>
  <si>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</si>
  <si>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</si>
  <si>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</si>
  <si>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</si>
  <si>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</si>
  <si>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</si>
  <si>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</si>
  <si>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</si>
  <si>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</si>
  <si>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</si>
  <si>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</si>
  <si>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</si>
  <si>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</si>
  <si>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</si>
  <si>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</si>
  <si>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</si>
  <si>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</si>
  <si>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</si>
  <si>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</si>
  <si>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</si>
  <si>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</si>
  <si>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</si>
  <si>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</si>
  <si>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</si>
  <si>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</si>
  <si>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</si>
  <si>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</si>
  <si>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</si>
  <si>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</si>
  <si>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</si>
  <si>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</si>
  <si>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</si>
  <si>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</si>
  <si>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</si>
  <si>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</si>
  <si>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</si>
  <si>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</si>
  <si>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</si>
  <si>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</si>
  <si>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</si>
  <si>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</si>
  <si>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</si>
  <si>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</si>
  <si>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</si>
  <si>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</si>
  <si>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</si>
  <si>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</si>
  <si>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</si>
  <si>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</si>
  <si>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</si>
  <si>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</si>
  <si>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</si>
  <si>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</si>
  <si>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</si>
  <si>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</si>
  <si>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</si>
  <si>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</si>
  <si>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</si>
  <si>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</si>
  <si>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</si>
  <si>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</si>
  <si>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</si>
  <si>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</si>
  <si>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</si>
  <si>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</si>
  <si>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</si>
  <si>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</si>
  <si>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</si>
  <si>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</si>
  <si>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</si>
  <si>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</si>
  <si>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</si>
  <si>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</si>
  <si>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</si>
  <si>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</si>
  <si>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</si>
  <si>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</si>
  <si>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</si>
  <si>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</si>
  <si>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</si>
  <si>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</si>
  <si>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</si>
  <si>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</si>
  <si>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</si>
  <si>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</si>
  <si>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</si>
  <si>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</si>
  <si>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</si>
  <si>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</si>
  <si>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</si>
  <si>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</si>
  <si>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</si>
  <si>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</si>
  <si>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</si>
  <si>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</si>
  <si>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</si>
  <si>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</si>
  <si>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</si>
  <si>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</si>
  <si>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</si>
  <si>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</si>
  <si>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</si>
  <si>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</si>
  <si>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</si>
  <si>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</si>
  <si>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</si>
  <si>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</si>
  <si>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</si>
  <si>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</si>
  <si>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</si>
  <si>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</si>
  <si>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</si>
  <si>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</si>
  <si>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</si>
  <si>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</si>
  <si>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</si>
  <si>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</si>
  <si>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</si>
  <si>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</si>
  <si>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</si>
  <si>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</si>
  <si>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</si>
  <si>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</si>
  <si>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</si>
  <si>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</si>
  <si>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</si>
  <si>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</si>
  <si>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</si>
  <si>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</si>
  <si>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</si>
  <si>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</si>
  <si>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</si>
  <si>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</si>
  <si>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</si>
  <si>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</si>
  <si>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</si>
  <si>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</si>
  <si>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</si>
  <si>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</si>
  <si>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</si>
  <si>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</si>
  <si>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</si>
  <si>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</si>
  <si>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</si>
  <si>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</si>
  <si>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</si>
  <si>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</si>
  <si>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</si>
  <si>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</si>
  <si>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</si>
  <si>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</si>
  <si>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</si>
  <si>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</si>
  <si>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</si>
  <si>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</si>
  <si>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</si>
  <si>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</si>
  <si>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</si>
  <si>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</si>
  <si>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</si>
  <si>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</si>
  <si>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</si>
  <si>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</si>
  <si>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</si>
  <si>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</si>
  <si>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</si>
  <si>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</si>
  <si>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</si>
  <si>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</si>
  <si>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</si>
  <si>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</si>
  <si>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</si>
  <si>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</si>
  <si>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</si>
  <si>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</si>
  <si>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</si>
  <si>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</si>
  <si>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</si>
  <si>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</si>
  <si>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</si>
  <si>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</si>
  <si>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</si>
  <si>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</si>
  <si>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</si>
  <si>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</si>
  <si>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</si>
  <si>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</si>
  <si>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</si>
  <si>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</si>
  <si>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</si>
  <si>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</si>
  <si>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</si>
  <si>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</si>
  <si>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</si>
  <si>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</si>
  <si>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</si>
  <si>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</si>
  <si>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</si>
  <si>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</si>
  <si>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</si>
  <si>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</si>
  <si>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</si>
  <si>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</si>
  <si>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</si>
  <si>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</si>
  <si>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</si>
  <si>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</si>
  <si>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</si>
  <si>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</si>
  <si>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</si>
  <si>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</si>
  <si>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</si>
  <si>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</si>
  <si>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</si>
  <si>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</si>
  <si>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</si>
  <si>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</si>
  <si>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</si>
  <si>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</si>
  <si>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</si>
  <si>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</si>
  <si>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</si>
  <si>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</si>
  <si>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</si>
  <si>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</si>
  <si>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</si>
  <si>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</si>
  <si>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</si>
  <si>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</si>
  <si>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</si>
  <si>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</si>
  <si>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</si>
  <si>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</si>
  <si>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</si>
  <si>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</si>
  <si>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</si>
  <si>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</si>
  <si>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</si>
  <si>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</si>
  <si>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</si>
  <si>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</si>
  <si>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</si>
  <si>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</si>
  <si>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</si>
  <si>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</si>
  <si>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</si>
  <si>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</si>
  <si>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</si>
  <si>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</si>
  <si>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</si>
  <si>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</si>
  <si>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</si>
  <si>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</si>
  <si>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</si>
  <si>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</si>
  <si>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</si>
  <si>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</si>
  <si>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</si>
  <si>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</si>
  <si>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</si>
  <si>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</si>
  <si>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</si>
  <si>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</si>
  <si>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</si>
  <si>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</si>
  <si>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</si>
  <si>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</si>
  <si>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</si>
  <si>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</si>
  <si>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</si>
  <si>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</si>
  <si>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</si>
  <si>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</si>
  <si>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</si>
  <si>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</si>
  <si>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</si>
  <si>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</si>
  <si>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</si>
  <si>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</si>
  <si>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</si>
  <si>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</si>
  <si>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</si>
  <si>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</si>
  <si>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</si>
  <si>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</si>
  <si>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</si>
  <si>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</si>
  <si>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</si>
  <si>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</si>
  <si>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</si>
  <si>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</si>
  <si>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</si>
  <si>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</si>
  <si>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</si>
  <si>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</si>
  <si>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</si>
  <si>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</si>
  <si>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</si>
  <si>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</si>
  <si>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</si>
  <si>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</si>
  <si>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</si>
  <si>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</si>
  <si>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</si>
  <si>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</si>
  <si>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</si>
  <si>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</si>
  <si>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</si>
  <si>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</si>
  <si>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</si>
  <si>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</si>
  <si>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</si>
  <si>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</si>
  <si>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</si>
  <si>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</si>
  <si>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</si>
  <si>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</si>
  <si>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</si>
  <si>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</si>
  <si>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</si>
  <si>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</si>
  <si>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</si>
  <si>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</si>
  <si>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</si>
  <si>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</si>
  <si>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</si>
  <si>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</si>
  <si>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</si>
  <si>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</si>
  <si>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</si>
  <si>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</si>
  <si>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</si>
  <si>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</si>
  <si>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</si>
  <si>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</si>
  <si>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</si>
  <si>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</si>
  <si>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</si>
  <si>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</si>
  <si>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</si>
  <si>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</si>
  <si>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</si>
  <si>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</si>
  <si>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</si>
  <si>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</si>
  <si>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</si>
  <si>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</si>
  <si>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</si>
  <si>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</si>
  <si>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</si>
  <si>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</si>
  <si>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</si>
  <si>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</si>
  <si>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</si>
  <si>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</si>
  <si>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</si>
  <si>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</si>
  <si>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</si>
  <si>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</si>
  <si>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</si>
  <si>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</si>
  <si>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</si>
  <si>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</si>
  <si>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</si>
  <si>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</si>
  <si>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</si>
  <si>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</si>
  <si>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</si>
  <si>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</si>
  <si>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</si>
  <si>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</si>
  <si>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</si>
  <si>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</si>
  <si>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</si>
  <si>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</si>
  <si>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</si>
  <si>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</si>
  <si>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</si>
  <si>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</si>
  <si>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</si>
  <si>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</si>
  <si>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</si>
  <si>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</si>
  <si>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</si>
  <si>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</si>
  <si>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</si>
  <si>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</si>
  <si>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</si>
  <si>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</si>
  <si>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</si>
  <si>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</si>
  <si>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</si>
  <si>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</si>
  <si>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</si>
  <si>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</si>
  <si>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</si>
  <si>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</si>
  <si>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</si>
  <si>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</si>
  <si>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</si>
  <si>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</si>
  <si>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</si>
  <si>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</si>
  <si>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</si>
  <si>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</si>
  <si>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</si>
  <si>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</si>
  <si>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</si>
  <si>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</si>
  <si>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</si>
  <si>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</si>
  <si>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</si>
  <si>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</si>
  <si>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</si>
  <si>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</si>
  <si>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</si>
  <si>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</si>
  <si>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</si>
  <si>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</si>
  <si>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</si>
  <si>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</si>
  <si>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</si>
  <si>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</si>
  <si>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</si>
  <si>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</si>
  <si>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</si>
  <si>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</si>
  <si>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</si>
  <si>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</si>
  <si>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</si>
  <si>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</si>
  <si>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</si>
  <si>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</si>
  <si>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</si>
  <si>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</si>
  <si>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</si>
  <si>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</si>
  <si>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</si>
  <si>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</si>
  <si>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</si>
  <si>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</si>
  <si>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</si>
  <si>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</si>
  <si>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</si>
  <si>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</si>
  <si>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</si>
  <si>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</si>
  <si>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</si>
  <si>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</si>
  <si>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</si>
  <si>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</si>
  <si>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</si>
  <si>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</si>
  <si>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</si>
  <si>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</si>
  <si>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</si>
  <si>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</si>
  <si>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</si>
  <si>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</si>
  <si>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</si>
  <si>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</si>
  <si>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</si>
  <si>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</si>
  <si>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</si>
  <si>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</si>
  <si>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</si>
  <si>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</si>
  <si>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</si>
  <si>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</si>
  <si>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</si>
  <si>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</si>
  <si>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</si>
  <si>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</si>
  <si>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</si>
  <si>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</si>
  <si>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</si>
  <si>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</si>
  <si>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</si>
  <si>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</si>
  <si>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</si>
  <si>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</si>
  <si>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</si>
  <si>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</si>
  <si>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</si>
  <si>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</si>
  <si>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</si>
  <si>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</si>
  <si>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</si>
  <si>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</si>
  <si>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</si>
  <si>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</si>
  <si>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</si>
  <si>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</si>
  <si>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</si>
  <si>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</si>
  <si>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</si>
  <si>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</si>
  <si>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</si>
  <si>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</si>
  <si>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</si>
  <si>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</si>
  <si>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</si>
  <si>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</si>
  <si>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</si>
  <si>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</si>
  <si>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</si>
  <si>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</si>
  <si>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</si>
  <si>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</si>
  <si>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</si>
  <si>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</si>
  <si>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</si>
  <si>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</si>
  <si>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</si>
  <si>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</si>
  <si>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</si>
  <si>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</si>
  <si>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</si>
  <si>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</si>
  <si>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</si>
  <si>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</si>
  <si>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</si>
  <si>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</si>
  <si>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</si>
  <si>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</si>
  <si>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</si>
  <si>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</si>
  <si>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</si>
  <si>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</si>
  <si>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</si>
  <si>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</si>
  <si>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</si>
  <si>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</si>
  <si>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</si>
  <si>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</si>
  <si>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</si>
  <si>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</si>
  <si>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</si>
  <si>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</si>
  <si>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</si>
  <si>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</si>
  <si>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</si>
  <si>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</si>
  <si>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</si>
  <si>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</si>
  <si>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</si>
  <si>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</si>
  <si>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</si>
  <si>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</si>
  <si>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</si>
  <si>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</si>
  <si>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</si>
  <si>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</si>
  <si>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</si>
  <si>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</si>
  <si>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</si>
  <si>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</si>
  <si>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</si>
  <si>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</si>
  <si>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</si>
  <si>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</si>
  <si>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</si>
  <si>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</si>
  <si>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</si>
  <si>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</si>
  <si>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</si>
  <si>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</si>
  <si>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</si>
  <si>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</si>
  <si>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</si>
  <si>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</si>
  <si>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</si>
  <si>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</si>
  <si>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</si>
  <si>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</si>
  <si>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</si>
  <si>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</si>
  <si>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</si>
  <si>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</si>
  <si>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</si>
  <si>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</si>
  <si>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</si>
  <si>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</si>
  <si>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</si>
  <si>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</si>
  <si>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</si>
  <si>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</si>
  <si>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</si>
  <si>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</si>
  <si>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</si>
  <si>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</si>
  <si>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</si>
  <si>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</si>
  <si>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</si>
  <si>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</si>
  <si>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</si>
  <si>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</si>
  <si>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</si>
  <si>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</si>
  <si>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</si>
  <si>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</si>
  <si>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</si>
  <si>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</si>
  <si>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</si>
  <si>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</si>
  <si>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</si>
  <si>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</si>
  <si>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</si>
  <si>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</si>
  <si>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</si>
  <si>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</si>
  <si>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</si>
  <si>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</si>
  <si>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</si>
  <si>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</si>
  <si>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</si>
  <si>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</si>
  <si>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</si>
  <si>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</si>
  <si>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</si>
  <si>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</si>
  <si>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</si>
  <si>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</si>
  <si>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</si>
  <si>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</si>
  <si>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</si>
  <si>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</si>
  <si>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</si>
  <si>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</si>
  <si>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</si>
  <si>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</si>
  <si>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</si>
  <si>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</si>
  <si>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</si>
  <si>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</si>
  <si>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</si>
  <si>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</si>
  <si>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</si>
  <si>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</si>
  <si>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</si>
  <si>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</si>
  <si>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</si>
  <si>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</si>
  <si>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</si>
  <si>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</si>
  <si>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</si>
  <si>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</si>
  <si>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</si>
  <si>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</si>
  <si>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</si>
  <si>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</si>
  <si>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</si>
  <si>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</si>
  <si>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</si>
  <si>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</si>
  <si>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</si>
  <si>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</si>
  <si>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</si>
  <si>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</si>
  <si>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</si>
  <si>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</si>
  <si>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</si>
  <si>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</si>
  <si>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</si>
  <si>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</si>
  <si>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</si>
  <si>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</si>
  <si>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</si>
  <si>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</si>
  <si>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</si>
  <si>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</si>
  <si>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</si>
  <si>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</si>
  <si>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</si>
  <si>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</si>
  <si>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</si>
  <si>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</si>
  <si>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</si>
  <si>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</si>
  <si>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</si>
  <si>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</si>
  <si>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</si>
  <si>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</si>
  <si>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</si>
  <si>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</si>
  <si>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</si>
  <si>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</si>
  <si>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</si>
  <si>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</si>
  <si>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</si>
  <si>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</si>
  <si>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</si>
  <si>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</si>
  <si>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</si>
  <si>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</si>
  <si>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</si>
  <si>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</si>
  <si>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</si>
  <si>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</si>
  <si>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</si>
  <si>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</si>
  <si>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</si>
  <si>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</si>
  <si>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</si>
  <si>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</si>
  <si>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</si>
  <si>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</si>
  <si>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</si>
  <si>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</si>
  <si>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</si>
  <si>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</si>
  <si>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</si>
  <si>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</si>
  <si>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</si>
  <si>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</si>
  <si>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</si>
  <si>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</si>
  <si>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</si>
  <si>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</si>
  <si>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</si>
  <si>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</si>
  <si>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</si>
  <si>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</si>
  <si>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</si>
  <si>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</si>
  <si>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</si>
  <si>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</si>
  <si>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</si>
  <si>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</si>
  <si>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</si>
  <si>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</si>
  <si>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</si>
  <si>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</si>
  <si>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</si>
  <si>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</si>
  <si>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</si>
  <si>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</si>
  <si>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</si>
  <si>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</si>
  <si>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</si>
  <si>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</si>
  <si>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</si>
  <si>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</si>
  <si>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</si>
  <si>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</si>
  <si>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</si>
  <si>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</si>
  <si>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</si>
  <si>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</si>
  <si>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</si>
  <si>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</si>
  <si>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</si>
  <si>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</si>
  <si>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</si>
  <si>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</si>
  <si>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</si>
  <si>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</si>
  <si>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</si>
  <si>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</si>
  <si>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</si>
  <si>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</si>
  <si>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</si>
  <si>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</si>
  <si>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</si>
  <si>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</si>
  <si>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</si>
  <si>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</si>
  <si>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</si>
  <si>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</si>
  <si>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</si>
  <si>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</si>
  <si>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</si>
  <si>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</si>
  <si>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</si>
  <si>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</si>
  <si>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</si>
  <si>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</si>
  <si>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</si>
  <si>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</si>
  <si>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</si>
  <si>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</si>
  <si>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</si>
  <si>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</si>
  <si>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</si>
  <si>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</si>
  <si>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</si>
  <si>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</si>
  <si>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</si>
  <si>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</si>
  <si>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</si>
  <si>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</si>
  <si>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</si>
  <si>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</si>
  <si>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</si>
  <si>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</si>
  <si>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</si>
  <si>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</si>
  <si>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</si>
  <si>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</si>
  <si>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</si>
  <si>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</si>
  <si>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</si>
  <si>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</si>
  <si>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</si>
  <si>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</si>
  <si>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</si>
  <si>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</si>
  <si>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</si>
  <si>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</si>
  <si>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</si>
  <si>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</si>
  <si>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</si>
  <si>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</si>
  <si>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</si>
  <si>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</si>
  <si>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</si>
  <si>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</si>
  <si>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</si>
  <si>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</si>
  <si>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</si>
  <si>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</si>
  <si>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</si>
  <si>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</si>
  <si>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</si>
  <si>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</si>
  <si>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</si>
  <si>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</si>
  <si>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</si>
  <si>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</si>
  <si>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</si>
  <si>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</si>
  <si>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</si>
  <si>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</si>
  <si>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</si>
  <si>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</si>
  <si>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</si>
  <si>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</si>
  <si>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</si>
  <si>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</si>
  <si>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</si>
  <si>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</si>
  <si>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</si>
  <si>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</si>
  <si>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</si>
  <si>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</si>
  <si>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</si>
  <si>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</si>
  <si>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</si>
  <si>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</si>
  <si>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</si>
  <si>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</si>
  <si>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</si>
  <si>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</si>
  <si>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</si>
  <si>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</si>
  <si>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</si>
  <si>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</si>
  <si>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</si>
  <si>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</si>
  <si>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</si>
  <si>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</si>
  <si>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</si>
  <si>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</si>
  <si>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</si>
  <si>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</si>
  <si>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</si>
  <si>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</si>
  <si>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</si>
  <si>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</si>
  <si>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</si>
  <si>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</si>
  <si>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</si>
  <si>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</si>
  <si>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</si>
  <si>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</si>
  <si>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</si>
  <si>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</si>
  <si>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</si>
  <si>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</si>
  <si>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</si>
  <si>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</si>
  <si>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</si>
  <si>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</si>
  <si>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</si>
  <si>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</si>
  <si>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</si>
  <si>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</si>
  <si>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</si>
  <si>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</si>
  <si>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</si>
  <si>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</si>
  <si>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</si>
  <si>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</si>
  <si>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</si>
  <si>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</si>
  <si>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</si>
  <si>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</si>
  <si>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</si>
  <si>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</si>
  <si>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</si>
  <si>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</si>
  <si>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</si>
  <si>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</si>
  <si>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</si>
  <si>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</si>
  <si>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</si>
  <si>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</si>
  <si>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</si>
  <si>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</si>
  <si>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</si>
  <si>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</si>
  <si>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</si>
  <si>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</si>
  <si>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</si>
  <si>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</si>
  <si>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</si>
  <si>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</si>
  <si>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</si>
  <si>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</si>
  <si>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</si>
  <si>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</si>
  <si>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</si>
  <si>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</si>
  <si>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</si>
  <si>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</si>
  <si>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</si>
  <si>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</si>
  <si>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</si>
  <si>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</si>
  <si>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</si>
  <si>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</si>
  <si>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</si>
  <si>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</si>
  <si>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</si>
  <si>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</si>
  <si>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</si>
  <si>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</si>
  <si>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</si>
  <si>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</si>
  <si>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</si>
  <si>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</si>
  <si>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</si>
  <si>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</si>
  <si>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</si>
  <si>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</si>
  <si>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</si>
  <si>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</si>
  <si>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</si>
  <si>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</si>
  <si>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</si>
  <si>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</si>
  <si>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</si>
  <si>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</si>
  <si>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</si>
  <si>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</si>
  <si>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</si>
  <si>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</si>
  <si>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</si>
  <si>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</si>
  <si>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</si>
  <si>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</si>
  <si>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</si>
  <si>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</si>
  <si>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</si>
  <si>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</si>
  <si>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</si>
  <si>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</si>
  <si>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</si>
  <si>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</si>
  <si>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</si>
  <si>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</si>
  <si>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</si>
  <si>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</si>
  <si>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</si>
  <si>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</si>
  <si>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</si>
  <si>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</si>
  <si>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</si>
  <si>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</si>
  <si>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</si>
  <si>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</si>
  <si>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</si>
  <si>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</si>
  <si>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</si>
  <si>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</si>
  <si>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</si>
  <si>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</si>
  <si>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</si>
  <si>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</si>
  <si>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</si>
  <si>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</si>
  <si>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</si>
  <si>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</si>
  <si>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</si>
  <si>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</si>
  <si>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</si>
  <si>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</si>
  <si>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</si>
  <si>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</si>
  <si>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</si>
  <si>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</si>
  <si>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</si>
  <si>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</si>
  <si>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</si>
  <si>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</si>
  <si>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</si>
  <si>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</si>
  <si>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</si>
  <si>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</si>
  <si>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</si>
  <si>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</si>
  <si>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</si>
  <si>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</si>
  <si>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</si>
  <si>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</si>
  <si>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</si>
  <si>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</si>
  <si>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</si>
  <si>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</si>
  <si>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</si>
  <si>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</si>
  <si>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</si>
  <si>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</si>
  <si>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</si>
  <si>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</si>
  <si>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</si>
  <si>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</si>
  <si>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</si>
  <si>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</si>
  <si>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</si>
  <si>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</si>
  <si>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</si>
  <si>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</si>
  <si>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</si>
  <si>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</si>
  <si>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</si>
  <si>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</si>
  <si>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</si>
  <si>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</si>
  <si>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</si>
  <si>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</si>
  <si>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</si>
  <si>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</si>
  <si>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</si>
  <si>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</si>
  <si>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</si>
  <si>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</si>
  <si>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</si>
  <si>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</si>
  <si>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</si>
  <si>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</si>
  <si>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</si>
  <si>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</si>
  <si>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</si>
  <si>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</si>
  <si>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</si>
  <si>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</si>
  <si>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</si>
  <si>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</si>
  <si>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</si>
  <si>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</si>
  <si>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</si>
  <si>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</si>
  <si>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</si>
  <si>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</si>
  <si>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</si>
  <si>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</si>
  <si>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</si>
  <si>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</si>
  <si>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</si>
  <si>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</si>
  <si>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</si>
  <si>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</si>
  <si>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</si>
  <si>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</si>
  <si>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</si>
  <si>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</si>
  <si>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</si>
  <si>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</si>
  <si>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</si>
  <si>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</si>
  <si>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</si>
  <si>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</si>
  <si>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</si>
  <si>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</si>
  <si>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</si>
  <si>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</si>
  <si>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</si>
  <si>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</si>
  <si>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</si>
  <si>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</si>
  <si>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</si>
  <si>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</si>
  <si>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</si>
  <si>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</si>
  <si>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</si>
  <si>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</si>
  <si>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</si>
  <si>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</si>
  <si>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</si>
  <si>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</si>
  <si>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</si>
  <si>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</si>
  <si>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</si>
  <si>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</si>
  <si>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</si>
  <si>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</si>
  <si>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</si>
  <si>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</si>
  <si>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</si>
  <si>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</si>
  <si>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</si>
  <si>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</si>
  <si>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</si>
  <si>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</si>
  <si>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</si>
  <si>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</si>
  <si>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</si>
  <si>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</si>
  <si>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</si>
  <si>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</si>
  <si>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</si>
  <si>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</si>
  <si>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</si>
  <si>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</si>
  <si>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</si>
  <si>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</si>
  <si>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</si>
  <si>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</si>
  <si>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</si>
  <si>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</si>
  <si>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</si>
  <si>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</si>
  <si>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</si>
  <si>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</si>
  <si>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</si>
  <si>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</si>
  <si>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</si>
  <si>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</si>
  <si>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</si>
  <si>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</si>
  <si>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</si>
  <si>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</si>
  <si>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</si>
  <si>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</si>
  <si>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</si>
  <si>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</si>
  <si>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</si>
  <si>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</si>
  <si>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</si>
  <si>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</si>
  <si>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</si>
  <si>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</si>
  <si>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</si>
  <si>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</si>
  <si>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</si>
  <si>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</si>
  <si>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</si>
  <si>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</si>
  <si>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</si>
  <si>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</si>
  <si>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</si>
  <si>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</si>
  <si>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</si>
  <si>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</si>
  <si>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</si>
  <si>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</si>
  <si>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</si>
  <si>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</si>
  <si>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</si>
  <si>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</si>
  <si>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</si>
  <si>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</si>
  <si>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</si>
  <si>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</si>
  <si>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</si>
  <si>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</si>
  <si>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</si>
  <si>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</si>
  <si>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</si>
  <si>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</si>
  <si>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</si>
  <si>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</si>
  <si>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</si>
  <si>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</si>
  <si>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</si>
  <si>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</si>
  <si>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</si>
  <si>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</si>
  <si>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</si>
  <si>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</si>
  <si>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</si>
  <si>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</si>
  <si>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</si>
  <si>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</si>
  <si>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</si>
  <si>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</si>
  <si>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</si>
  <si>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</si>
  <si>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</si>
  <si>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</si>
  <si>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</si>
  <si>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</si>
  <si>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</si>
  <si>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</si>
  <si>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</si>
  <si>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</si>
  <si>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</si>
  <si>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</si>
  <si>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</si>
  <si>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</si>
  <si>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</si>
  <si>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</si>
  <si>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</si>
  <si>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</si>
  <si>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</si>
  <si>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</si>
  <si>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</si>
  <si>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</si>
  <si>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</si>
  <si>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</si>
  <si>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</si>
  <si>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</si>
  <si>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</si>
  <si>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</si>
  <si>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</si>
  <si>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</si>
  <si>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</si>
  <si>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</si>
  <si>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</si>
  <si>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</si>
  <si>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</si>
  <si>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</si>
  <si>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</si>
  <si>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</si>
  <si>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</si>
  <si>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</si>
  <si>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</si>
  <si>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</si>
  <si>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</si>
  <si>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</si>
  <si>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</si>
  <si>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</si>
  <si>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</si>
  <si>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</si>
  <si>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</si>
  <si>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</si>
  <si>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</si>
  <si>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</si>
  <si>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</si>
  <si>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</si>
  <si>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</si>
  <si>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</si>
  <si>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</si>
  <si>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</si>
  <si>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</si>
  <si>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</si>
  <si>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</si>
  <si>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</si>
  <si>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</si>
  <si>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</si>
  <si>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</si>
  <si>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</si>
  <si>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</si>
  <si>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</si>
  <si>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</si>
  <si>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</si>
  <si>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</si>
  <si>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</si>
  <si>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</si>
  <si>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</si>
  <si>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</si>
  <si>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</si>
  <si>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</si>
  <si>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</si>
  <si>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</si>
  <si>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</si>
  <si>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</si>
  <si>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</si>
  <si>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</si>
  <si>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</si>
  <si>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</si>
  <si>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</si>
  <si>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</si>
  <si>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</si>
  <si>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</si>
  <si>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</si>
  <si>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</si>
  <si>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</si>
  <si>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</si>
  <si>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</si>
  <si>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</si>
  <si>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</si>
  <si>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</si>
  <si>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</si>
  <si>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</si>
  <si>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</si>
  <si>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</si>
  <si>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</si>
  <si>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</si>
  <si>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</si>
  <si>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</si>
  <si>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</si>
  <si>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</si>
  <si>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</si>
  <si>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</si>
  <si>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</si>
  <si>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</si>
  <si>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</si>
  <si>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</si>
  <si>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</si>
  <si>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</si>
  <si>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</si>
  <si>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</si>
  <si>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</si>
  <si>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</si>
  <si>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</si>
  <si>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</si>
  <si>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</si>
  <si>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</si>
  <si>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</si>
  <si>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</si>
  <si>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</si>
  <si>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</si>
  <si>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</si>
  <si>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</si>
  <si>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</si>
  <si>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</si>
  <si>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</si>
  <si>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</si>
  <si>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</si>
  <si>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</si>
  <si>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</si>
  <si>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</si>
  <si>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</si>
  <si>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</si>
  <si>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</si>
  <si>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</si>
  <si>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</si>
  <si>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</si>
  <si>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</si>
  <si>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</si>
  <si>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</si>
  <si>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</si>
  <si>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</si>
  <si>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</si>
  <si>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</si>
  <si>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</si>
  <si>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</si>
  <si>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</si>
  <si>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</si>
  <si>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</si>
  <si>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</si>
  <si>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</si>
  <si>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</si>
  <si>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</si>
  <si>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</si>
  <si>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</si>
  <si>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</si>
  <si>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</si>
  <si>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</si>
  <si>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</si>
  <si>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</si>
  <si>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</si>
  <si>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</si>
  <si>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</si>
  <si>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</si>
  <si>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</si>
  <si>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</si>
  <si>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</si>
  <si>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</si>
  <si>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</si>
  <si>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</si>
  <si>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</si>
  <si>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</si>
  <si>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</si>
  <si>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</si>
  <si>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</si>
  <si>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</si>
  <si>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</si>
  <si>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</si>
  <si>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</si>
  <si>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</si>
  <si>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</si>
  <si>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</si>
  <si>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</si>
  <si>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</si>
  <si>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</si>
  <si>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</si>
  <si>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</si>
  <si>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</si>
  <si>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</si>
  <si>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</si>
  <si>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</si>
  <si>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</si>
  <si>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</si>
  <si>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</si>
  <si>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</si>
  <si>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</si>
  <si>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</si>
  <si>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</si>
  <si>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</si>
  <si>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</si>
  <si>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</si>
  <si>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</si>
  <si>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</si>
  <si>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</si>
  <si>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</si>
  <si>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</si>
  <si>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</si>
  <si>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</si>
  <si>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</si>
  <si>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</si>
  <si>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</si>
  <si>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</si>
  <si>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</si>
  <si>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</si>
  <si>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</si>
  <si>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</si>
  <si>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</si>
  <si>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</si>
  <si>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</si>
  <si>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</si>
  <si>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</si>
  <si>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</si>
  <si>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</si>
  <si>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</si>
  <si>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</si>
  <si>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</si>
  <si>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</si>
  <si>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</si>
  <si>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</si>
  <si>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</si>
  <si>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</si>
  <si>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</si>
  <si>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</si>
  <si>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</si>
  <si>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</si>
  <si>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</si>
  <si>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</si>
  <si>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</si>
  <si>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</si>
  <si>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</si>
  <si>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</si>
  <si>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</si>
  <si>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</si>
  <si>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</si>
  <si>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</si>
  <si>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</si>
  <si>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</si>
  <si>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</si>
  <si>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</si>
  <si>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</si>
  <si>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</si>
  <si>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</si>
  <si>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</si>
  <si>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</si>
  <si>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</si>
  <si>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</si>
  <si>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</si>
  <si>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</si>
  <si>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</si>
  <si>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</si>
  <si>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</si>
  <si>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</si>
  <si>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</si>
  <si>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</si>
  <si>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</si>
  <si>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</si>
  <si>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</si>
  <si>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</si>
  <si>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</si>
  <si>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</si>
  <si>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</si>
  <si>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</si>
  <si>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</si>
  <si>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</si>
  <si>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</si>
  <si>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</si>
  <si>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</si>
  <si>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</si>
  <si>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</si>
  <si>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</si>
  <si>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</si>
  <si>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</si>
  <si>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</si>
  <si>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</si>
  <si>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</si>
  <si>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</si>
  <si>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</si>
  <si>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</si>
  <si>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</si>
  <si>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</si>
  <si>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</si>
  <si>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</si>
  <si>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</si>
  <si>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</si>
  <si>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</si>
  <si>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</si>
  <si>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</si>
  <si>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</si>
  <si>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</si>
  <si>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</si>
  <si>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</si>
  <si>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</si>
  <si>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</si>
  <si>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</si>
  <si>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</si>
  <si>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</si>
  <si>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</si>
  <si>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</si>
  <si>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</si>
  <si>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</si>
  <si>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</si>
  <si>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</si>
  <si>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</si>
  <si>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</si>
  <si>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</si>
  <si>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</si>
  <si>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</si>
  <si>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</si>
  <si>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</si>
  <si>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</si>
  <si>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</si>
  <si>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</si>
  <si>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</si>
  <si>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</si>
  <si>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</si>
  <si>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</si>
  <si>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</si>
  <si>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</si>
  <si>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</si>
  <si>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</si>
  <si>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</si>
  <si>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</si>
  <si>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</si>
  <si>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</si>
  <si>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</si>
  <si>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</si>
  <si>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</si>
  <si>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</si>
  <si>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</si>
  <si>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</si>
  <si>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</si>
  <si>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</si>
  <si>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</si>
  <si>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</si>
  <si>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</si>
  <si>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</si>
  <si>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</si>
  <si>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</si>
  <si>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</si>
  <si>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</si>
  <si>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</si>
  <si>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</si>
  <si>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</si>
  <si>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</si>
  <si>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</si>
  <si>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</si>
  <si>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</si>
  <si>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</si>
  <si>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</si>
  <si>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</si>
  <si>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</si>
  <si>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</si>
  <si>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</si>
  <si>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</si>
  <si>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</si>
  <si>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</si>
  <si>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</si>
  <si>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</si>
  <si>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</si>
  <si>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</si>
  <si>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</si>
  <si>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</si>
  <si>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</si>
  <si>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</si>
  <si>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</si>
  <si>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</si>
  <si>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</si>
  <si>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</si>
  <si>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</si>
  <si>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</si>
  <si>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</si>
  <si>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</si>
  <si>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</si>
  <si>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</si>
  <si>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</si>
  <si>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</si>
  <si>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</si>
  <si>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</si>
  <si>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</si>
  <si>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</si>
  <si>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</si>
  <si>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</si>
  <si>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</si>
  <si>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</si>
  <si>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</si>
  <si>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</si>
  <si>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</si>
  <si>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</si>
  <si>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</si>
  <si>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</si>
  <si>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</si>
  <si>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</si>
  <si>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</si>
  <si>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</si>
  <si>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</si>
  <si>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</si>
  <si>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</si>
  <si>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</si>
  <si>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</si>
  <si>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</si>
  <si>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</si>
  <si>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</si>
  <si>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</si>
  <si>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</si>
  <si>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</si>
  <si>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</si>
  <si>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</si>
  <si>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</si>
  <si>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</si>
  <si>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</si>
  <si>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</si>
  <si>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</si>
  <si>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</si>
  <si>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</si>
  <si>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</si>
  <si>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</si>
  <si>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</si>
  <si>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</si>
  <si>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</si>
  <si>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</si>
  <si>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</si>
  <si>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</si>
  <si>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</si>
  <si>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</si>
  <si>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</si>
  <si>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</si>
  <si>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</si>
  <si>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</si>
  <si>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</si>
  <si>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</si>
  <si>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</si>
  <si>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</si>
  <si>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</si>
  <si>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</si>
  <si>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</si>
  <si>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</si>
  <si>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</si>
  <si>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September</t>
  </si>
  <si>
    <t>23</t>
  </si>
  <si>
    <t xml:space="preserve">September </t>
  </si>
  <si>
    <t>Local - All Funds</t>
  </si>
  <si>
    <t>Local - Education Fund</t>
  </si>
  <si>
    <t>Misc - Education Fund</t>
  </si>
  <si>
    <t>State - O/M Fund</t>
  </si>
  <si>
    <t>ESSER - All Funds</t>
  </si>
  <si>
    <t>x</t>
  </si>
  <si>
    <t>Tim Markland</t>
  </si>
  <si>
    <t>Jerry Loitz</t>
  </si>
  <si>
    <t>Vicki Gawlinski</t>
  </si>
  <si>
    <t>Shari Ohm</t>
  </si>
  <si>
    <t>Christine Horn</t>
  </si>
  <si>
    <t>Dave Marshalek</t>
  </si>
  <si>
    <t>Christine Pickens</t>
  </si>
  <si>
    <t xml:space="preserve">1.  Our priority goal for the 2023-24 is to focus on academic and socio-emotional recovery for all students attending Grant Park School District #6.  We will utlize specific measurement tools to evaluate progress in both academic achievement (interval assessments) as well as socio-emotional assistance for struggling students.  2.  We will utilize a leadership strategy entitled "Implementation 180" in both the development and implementation of our School Improvement Plan (per building).  3.  We will reach our initiatives with our current Strategic Plan by maintaining small class sizes and providing critical interventions.  </t>
  </si>
  <si>
    <t xml:space="preserve">We will local dollars for any English Learners </t>
  </si>
  <si>
    <t xml:space="preserve">Tracy Planeta </t>
  </si>
  <si>
    <t xml:space="preserve">Special Education Assistant hired </t>
  </si>
  <si>
    <t xml:space="preserve">As a result of the pandemic, our interventionists will play a critical role in addressing individual academic needs.  </t>
  </si>
  <si>
    <t>7</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</si>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</sst>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3" fillId="0" borderId="0" applyNumberFormat="0" applyFill="0" applyBorder="0" applyAlignment="0" applyProtection="0">
      <alignment vertical="top"/>
      <protection locked="0"/>
    </xf>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67" fillId="0" borderId="0" applyNumberFormat="0" applyFill="0" applyBorder="0" applyAlignment="0" applyProtection="0">
      <alignment vertical="top"/>
      <protection locked="0"/>
    </xf>
    <xf numFmtId="0" fontId="7" fillId="0" borderId="0"/>
    <xf numFmtId="0" fontId="9" fillId="0" borderId="0"/>
    <xf numFmtId="44" fontId="9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2165">
    <xf numFmtId="0" fontId="0" fillId="0" borderId="0" xfId="0"/>
    <xf numFmtId="0" fontId="21" fillId="0" borderId="0" xfId="0" applyFont="1"/>
    <xf numFmtId="0" fontId="9" fillId="0" borderId="0" xfId="0" applyFont="1"/>
    <xf numFmtId="0" fontId="12" fillId="0" borderId="0" xfId="0" applyFont="1"/>
    <xf numFmtId="0" fontId="22" fillId="0" borderId="0" xfId="0" applyFont="1"/>
    <xf numFmtId="0" fontId="22" fillId="0" borderId="0" xfId="0" applyFont="1" applyProtection="1">
      <protection locked="0"/>
    </xf>
    <xf numFmtId="0" fontId="12"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9" fillId="0" borderId="0" xfId="0" applyFont="1" applyAlignment="1">
      <alignment horizontal="right"/>
    </xf>
    <xf numFmtId="0" fontId="0" fillId="0" borderId="0" xfId="0" applyAlignment="1">
      <alignment horizontal="left"/>
    </xf>
    <xf numFmtId="38" fontId="29" fillId="10" borderId="4" xfId="51" applyNumberFormat="1" applyFont="1" applyFill="1" applyBorder="1" applyAlignment="1">
      <alignment horizontal="right"/>
    </xf>
    <xf numFmtId="38" fontId="29" fillId="10" borderId="4" xfId="2" applyNumberFormat="1" applyFont="1" applyFill="1" applyBorder="1" applyAlignment="1">
      <alignment horizontal="right"/>
    </xf>
    <xf numFmtId="38" fontId="29" fillId="10" borderId="36" xfId="2" applyNumberFormat="1" applyFont="1" applyFill="1" applyBorder="1" applyAlignment="1">
      <alignment horizontal="right"/>
    </xf>
    <xf numFmtId="38" fontId="29" fillId="3" borderId="7" xfId="51" applyNumberFormat="1" applyFont="1" applyFill="1" applyBorder="1" applyAlignment="1">
      <alignment horizontal="right"/>
    </xf>
    <xf numFmtId="38" fontId="29" fillId="3" borderId="25" xfId="51" applyNumberFormat="1" applyFont="1" applyFill="1" applyBorder="1" applyAlignment="1">
      <alignment horizontal="right"/>
    </xf>
    <xf numFmtId="38" fontId="29" fillId="3" borderId="25" xfId="2" applyNumberFormat="1" applyFont="1" applyFill="1" applyBorder="1" applyAlignment="1">
      <alignment horizontal="right"/>
    </xf>
    <xf numFmtId="38" fontId="29" fillId="3" borderId="16" xfId="2" applyNumberFormat="1" applyFont="1" applyFill="1" applyBorder="1" applyAlignment="1">
      <alignment horizontal="right"/>
    </xf>
    <xf numFmtId="38" fontId="29" fillId="0" borderId="15" xfId="51" applyNumberFormat="1" applyFont="1" applyBorder="1" applyAlignment="1" applyProtection="1">
      <alignment horizontal="right"/>
      <protection locked="0"/>
    </xf>
    <xf numFmtId="38" fontId="29" fillId="3" borderId="8" xfId="51" applyNumberFormat="1" applyFont="1" applyFill="1" applyBorder="1" applyAlignment="1">
      <alignment horizontal="right"/>
    </xf>
    <xf numFmtId="38" fontId="29" fillId="3" borderId="8" xfId="2" applyNumberFormat="1" applyFont="1" applyFill="1" applyBorder="1" applyAlignment="1">
      <alignment horizontal="right"/>
    </xf>
    <xf numFmtId="38" fontId="29" fillId="0" borderId="15" xfId="2" applyNumberFormat="1" applyFont="1" applyBorder="1" applyAlignment="1" applyProtection="1">
      <alignment horizontal="right"/>
      <protection locked="0"/>
    </xf>
    <xf numFmtId="38" fontId="29" fillId="4" borderId="23" xfId="51" applyNumberFormat="1" applyFont="1" applyFill="1" applyBorder="1" applyAlignment="1">
      <alignment horizontal="right"/>
    </xf>
    <xf numFmtId="38" fontId="29" fillId="3" borderId="20" xfId="51" applyNumberFormat="1" applyFont="1" applyFill="1" applyBorder="1" applyAlignment="1">
      <alignment horizontal="right"/>
    </xf>
    <xf numFmtId="38" fontId="29" fillId="3" borderId="20" xfId="2" applyNumberFormat="1" applyFont="1" applyFill="1" applyBorder="1" applyAlignment="1">
      <alignment horizontal="right"/>
    </xf>
    <xf numFmtId="38" fontId="29" fillId="4" borderId="19" xfId="51" applyNumberFormat="1" applyFont="1" applyFill="1" applyBorder="1" applyAlignment="1">
      <alignment horizontal="right"/>
    </xf>
    <xf numFmtId="38" fontId="29" fillId="3" borderId="9" xfId="51" applyNumberFormat="1" applyFont="1" applyFill="1" applyBorder="1" applyAlignment="1">
      <alignment horizontal="right"/>
    </xf>
    <xf numFmtId="38" fontId="29" fillId="3" borderId="9" xfId="2" applyNumberFormat="1" applyFont="1" applyFill="1" applyBorder="1" applyAlignment="1">
      <alignment horizontal="right"/>
    </xf>
    <xf numFmtId="38" fontId="29" fillId="3" borderId="8" xfId="3" applyNumberFormat="1" applyFont="1" applyFill="1" applyBorder="1" applyAlignment="1">
      <alignment horizontal="right"/>
    </xf>
    <xf numFmtId="38" fontId="29" fillId="3" borderId="8" xfId="4" applyNumberFormat="1" applyFont="1" applyFill="1" applyBorder="1" applyAlignment="1">
      <alignment horizontal="right"/>
    </xf>
    <xf numFmtId="38" fontId="29" fillId="4" borderId="19" xfId="3" applyNumberFormat="1" applyFont="1" applyFill="1" applyBorder="1" applyAlignment="1">
      <alignment horizontal="right"/>
    </xf>
    <xf numFmtId="38" fontId="29" fillId="3" borderId="8" xfId="5" applyNumberFormat="1" applyFont="1" applyFill="1" applyBorder="1" applyAlignment="1">
      <alignment horizontal="right"/>
    </xf>
    <xf numFmtId="38" fontId="29" fillId="3" borderId="8" xfId="5" applyNumberFormat="1" applyFont="1" applyFill="1" applyBorder="1" applyAlignment="1">
      <alignment horizontal="left"/>
    </xf>
    <xf numFmtId="38" fontId="29" fillId="3" borderId="8" xfId="6" applyNumberFormat="1" applyFont="1" applyFill="1" applyBorder="1" applyAlignment="1">
      <alignment horizontal="right"/>
    </xf>
    <xf numFmtId="38" fontId="29" fillId="4" borderId="19" xfId="5" applyNumberFormat="1" applyFont="1" applyFill="1" applyBorder="1" applyAlignment="1">
      <alignment horizontal="right"/>
    </xf>
    <xf numFmtId="38" fontId="27" fillId="3" borderId="8" xfId="5" applyNumberFormat="1" applyFont="1" applyFill="1" applyBorder="1" applyAlignment="1">
      <alignment horizontal="right"/>
    </xf>
    <xf numFmtId="38" fontId="29" fillId="3" borderId="8" xfId="7" applyNumberFormat="1" applyFont="1" applyFill="1" applyBorder="1" applyAlignment="1">
      <alignment horizontal="right"/>
    </xf>
    <xf numFmtId="38" fontId="29" fillId="3" borderId="8" xfId="8" applyNumberFormat="1" applyFont="1" applyFill="1" applyBorder="1" applyAlignment="1">
      <alignment horizontal="right"/>
    </xf>
    <xf numFmtId="38" fontId="29" fillId="4" borderId="19" xfId="7" applyNumberFormat="1" applyFont="1" applyFill="1" applyBorder="1" applyAlignment="1">
      <alignment horizontal="right"/>
    </xf>
    <xf numFmtId="38" fontId="29" fillId="3" borderId="8" xfId="9" applyNumberFormat="1" applyFont="1" applyFill="1" applyBorder="1" applyAlignment="1">
      <alignment horizontal="right"/>
    </xf>
    <xf numFmtId="38" fontId="29" fillId="3" borderId="8" xfId="10" applyNumberFormat="1" applyFont="1" applyFill="1" applyBorder="1" applyAlignment="1">
      <alignment horizontal="right"/>
    </xf>
    <xf numFmtId="38" fontId="29" fillId="0" borderId="15" xfId="9" applyNumberFormat="1" applyFont="1" applyBorder="1" applyAlignment="1" applyProtection="1">
      <alignment horizontal="right"/>
      <protection locked="0"/>
    </xf>
    <xf numFmtId="38" fontId="29" fillId="0" borderId="15" xfId="10" applyNumberFormat="1" applyFont="1" applyBorder="1" applyAlignment="1" applyProtection="1">
      <alignment horizontal="right"/>
      <protection locked="0"/>
    </xf>
    <xf numFmtId="38" fontId="29" fillId="0" borderId="2" xfId="9" applyNumberFormat="1" applyFont="1" applyBorder="1" applyAlignment="1" applyProtection="1">
      <alignment horizontal="right"/>
      <protection locked="0"/>
    </xf>
    <xf numFmtId="38" fontId="29" fillId="3" borderId="15" xfId="9" applyNumberFormat="1" applyFont="1" applyFill="1" applyBorder="1" applyAlignment="1">
      <alignment horizontal="right"/>
    </xf>
    <xf numFmtId="38" fontId="29" fillId="3" borderId="15" xfId="10" applyNumberFormat="1" applyFont="1" applyFill="1" applyBorder="1" applyAlignment="1">
      <alignment horizontal="right"/>
    </xf>
    <xf numFmtId="38" fontId="29" fillId="3" borderId="2" xfId="10" applyNumberFormat="1" applyFont="1" applyFill="1" applyBorder="1" applyAlignment="1">
      <alignment horizontal="right"/>
    </xf>
    <xf numFmtId="38" fontId="29" fillId="0" borderId="3" xfId="9" applyNumberFormat="1" applyFont="1" applyBorder="1" applyAlignment="1" applyProtection="1">
      <alignment horizontal="right"/>
      <protection locked="0"/>
    </xf>
    <xf numFmtId="38" fontId="29" fillId="0" borderId="3" xfId="10" applyNumberFormat="1" applyFont="1" applyBorder="1" applyAlignment="1" applyProtection="1">
      <alignment horizontal="right"/>
      <protection locked="0"/>
    </xf>
    <xf numFmtId="38" fontId="29" fillId="3" borderId="3" xfId="9" applyNumberFormat="1" applyFont="1" applyFill="1" applyBorder="1" applyAlignment="1">
      <alignment horizontal="right"/>
    </xf>
    <xf numFmtId="38" fontId="29" fillId="3" borderId="3" xfId="10" applyNumberFormat="1" applyFont="1" applyFill="1" applyBorder="1" applyAlignment="1">
      <alignment horizontal="right"/>
    </xf>
    <xf numFmtId="38" fontId="29" fillId="4" borderId="19" xfId="9" applyNumberFormat="1" applyFont="1" applyFill="1" applyBorder="1" applyAlignment="1">
      <alignment horizontal="right"/>
    </xf>
    <xf numFmtId="38" fontId="29" fillId="4" borderId="10" xfId="9" applyNumberFormat="1" applyFont="1" applyFill="1" applyBorder="1" applyAlignment="1">
      <alignment horizontal="right"/>
    </xf>
    <xf numFmtId="38" fontId="29" fillId="10" borderId="55" xfId="9" applyNumberFormat="1" applyFont="1" applyFill="1" applyBorder="1" applyAlignment="1">
      <alignment horizontal="right"/>
    </xf>
    <xf numFmtId="38" fontId="29" fillId="10" borderId="55" xfId="10" applyNumberFormat="1" applyFont="1" applyFill="1" applyBorder="1" applyAlignment="1">
      <alignment horizontal="right"/>
    </xf>
    <xf numFmtId="38" fontId="29" fillId="10" borderId="50" xfId="10" applyNumberFormat="1" applyFont="1" applyFill="1" applyBorder="1" applyAlignment="1">
      <alignment horizontal="right"/>
    </xf>
    <xf numFmtId="38" fontId="29" fillId="10" borderId="14" xfId="9" applyNumberFormat="1" applyFont="1" applyFill="1" applyBorder="1" applyAlignment="1">
      <alignment horizontal="right"/>
    </xf>
    <xf numFmtId="38" fontId="29" fillId="10" borderId="33" xfId="9" applyNumberFormat="1" applyFont="1" applyFill="1" applyBorder="1" applyAlignment="1">
      <alignment horizontal="right"/>
    </xf>
    <xf numFmtId="38" fontId="29" fillId="10" borderId="25" xfId="9" applyNumberFormat="1" applyFont="1" applyFill="1" applyBorder="1" applyAlignment="1">
      <alignment horizontal="right"/>
    </xf>
    <xf numFmtId="38" fontId="29" fillId="10" borderId="33" xfId="10" applyNumberFormat="1" applyFont="1" applyFill="1" applyBorder="1" applyAlignment="1">
      <alignment horizontal="right"/>
    </xf>
    <xf numFmtId="38" fontId="29" fillId="10" borderId="25" xfId="10" applyNumberFormat="1" applyFont="1" applyFill="1" applyBorder="1" applyAlignment="1">
      <alignment horizontal="right"/>
    </xf>
    <xf numFmtId="38" fontId="29" fillId="10" borderId="16" xfId="10" applyNumberFormat="1" applyFont="1" applyFill="1" applyBorder="1" applyAlignment="1">
      <alignment horizontal="right"/>
    </xf>
    <xf numFmtId="38" fontId="29" fillId="0" borderId="15" xfId="11" applyNumberFormat="1" applyFont="1" applyBorder="1" applyAlignment="1" applyProtection="1">
      <alignment horizontal="right"/>
      <protection locked="0"/>
    </xf>
    <xf numFmtId="38" fontId="29" fillId="3" borderId="8" xfId="12" applyNumberFormat="1" applyFont="1" applyFill="1" applyBorder="1" applyAlignment="1">
      <alignment horizontal="right"/>
    </xf>
    <xf numFmtId="38" fontId="29" fillId="4" borderId="19" xfId="11" applyNumberFormat="1" applyFont="1" applyFill="1" applyBorder="1" applyAlignment="1">
      <alignment horizontal="right"/>
    </xf>
    <xf numFmtId="38" fontId="29" fillId="3" borderId="8" xfId="11" applyNumberFormat="1" applyFont="1" applyFill="1" applyBorder="1" applyAlignment="1">
      <alignment horizontal="right"/>
    </xf>
    <xf numFmtId="38" fontId="27" fillId="3" borderId="8" xfId="11" applyNumberFormat="1" applyFont="1" applyFill="1" applyBorder="1" applyAlignment="1">
      <alignment horizontal="right"/>
    </xf>
    <xf numFmtId="38" fontId="29" fillId="3" borderId="20" xfId="11" applyNumberFormat="1" applyFont="1" applyFill="1" applyBorder="1" applyAlignment="1">
      <alignment horizontal="right"/>
    </xf>
    <xf numFmtId="38" fontId="29" fillId="0" borderId="8" xfId="13" applyNumberFormat="1" applyFont="1" applyBorder="1" applyAlignment="1" applyProtection="1">
      <alignment horizontal="right"/>
      <protection locked="0"/>
    </xf>
    <xf numFmtId="38" fontId="29" fillId="3" borderId="8" xfId="13" applyNumberFormat="1" applyFont="1" applyFill="1" applyBorder="1" applyAlignment="1">
      <alignment horizontal="right"/>
    </xf>
    <xf numFmtId="38" fontId="29" fillId="3" borderId="8" xfId="14" applyNumberFormat="1" applyFont="1" applyFill="1" applyBorder="1" applyAlignment="1">
      <alignment horizontal="right"/>
    </xf>
    <xf numFmtId="38" fontId="29" fillId="0" borderId="15" xfId="13" applyNumberFormat="1" applyFont="1" applyBorder="1" applyAlignment="1" applyProtection="1">
      <alignment horizontal="right"/>
      <protection locked="0"/>
    </xf>
    <xf numFmtId="38" fontId="29" fillId="4" borderId="19" xfId="13" applyNumberFormat="1" applyFont="1" applyFill="1" applyBorder="1" applyAlignment="1">
      <alignment horizontal="right"/>
    </xf>
    <xf numFmtId="38" fontId="29" fillId="3" borderId="20" xfId="13" applyNumberFormat="1" applyFont="1" applyFill="1" applyBorder="1" applyAlignment="1">
      <alignment horizontal="right"/>
    </xf>
    <xf numFmtId="38" fontId="29" fillId="3" borderId="9" xfId="13" applyNumberFormat="1" applyFont="1" applyFill="1" applyBorder="1" applyAlignment="1">
      <alignment horizontal="right"/>
    </xf>
    <xf numFmtId="38" fontId="29" fillId="0" borderId="8" xfId="14" applyNumberFormat="1" applyFont="1" applyBorder="1" applyAlignment="1" applyProtection="1">
      <alignment horizontal="right"/>
      <protection locked="0"/>
    </xf>
    <xf numFmtId="38" fontId="29" fillId="0" borderId="2" xfId="14" applyNumberFormat="1" applyFont="1" applyBorder="1" applyAlignment="1" applyProtection="1">
      <alignment horizontal="right"/>
      <protection locked="0"/>
    </xf>
    <xf numFmtId="38" fontId="29" fillId="3" borderId="8" xfId="15" applyNumberFormat="1" applyFont="1" applyFill="1" applyBorder="1" applyAlignment="1">
      <alignment horizontal="right"/>
    </xf>
    <xf numFmtId="38" fontId="29" fillId="3" borderId="8" xfId="16" applyNumberFormat="1" applyFont="1" applyFill="1" applyBorder="1" applyAlignment="1">
      <alignment horizontal="right"/>
    </xf>
    <xf numFmtId="38" fontId="29" fillId="4" borderId="19" xfId="15" applyNumberFormat="1" applyFont="1" applyFill="1" applyBorder="1" applyAlignment="1">
      <alignment horizontal="right"/>
    </xf>
    <xf numFmtId="38" fontId="29" fillId="3" borderId="8" xfId="17" applyNumberFormat="1" applyFont="1" applyFill="1" applyBorder="1" applyAlignment="1">
      <alignment horizontal="right"/>
    </xf>
    <xf numFmtId="38" fontId="29" fillId="3" borderId="8" xfId="18" applyNumberFormat="1" applyFont="1" applyFill="1" applyBorder="1" applyAlignment="1">
      <alignment horizontal="right"/>
    </xf>
    <xf numFmtId="38" fontId="29" fillId="3" borderId="8" xfId="19" applyNumberFormat="1" applyFont="1" applyFill="1" applyBorder="1" applyAlignment="1">
      <alignment horizontal="right"/>
    </xf>
    <xf numFmtId="38" fontId="29" fillId="3" borderId="8" xfId="20" applyNumberFormat="1" applyFont="1" applyFill="1" applyBorder="1" applyAlignment="1">
      <alignment horizontal="right"/>
    </xf>
    <xf numFmtId="38" fontId="29" fillId="0" borderId="19" xfId="19" applyNumberFormat="1" applyFont="1" applyBorder="1" applyAlignment="1" applyProtection="1">
      <alignment horizontal="right"/>
      <protection locked="0"/>
    </xf>
    <xf numFmtId="38" fontId="29" fillId="4" borderId="23" xfId="19" quotePrefix="1" applyNumberFormat="1" applyFont="1" applyFill="1" applyBorder="1" applyAlignment="1">
      <alignment horizontal="right"/>
    </xf>
    <xf numFmtId="38" fontId="29" fillId="4" borderId="10" xfId="19" applyNumberFormat="1" applyFont="1" applyFill="1" applyBorder="1" applyAlignment="1">
      <alignment horizontal="right"/>
    </xf>
    <xf numFmtId="38" fontId="29" fillId="10" borderId="55" xfId="21" applyNumberFormat="1" applyFont="1" applyFill="1" applyBorder="1" applyAlignment="1">
      <alignment horizontal="right"/>
    </xf>
    <xf numFmtId="38" fontId="29" fillId="10" borderId="55" xfId="22" applyNumberFormat="1" applyFont="1" applyFill="1" applyBorder="1" applyAlignment="1">
      <alignment horizontal="right"/>
    </xf>
    <xf numFmtId="38" fontId="29" fillId="10" borderId="50" xfId="22" applyNumberFormat="1" applyFont="1" applyFill="1" applyBorder="1" applyAlignment="1">
      <alignment horizontal="right"/>
    </xf>
    <xf numFmtId="38" fontId="29" fillId="3" borderId="7" xfId="21" applyNumberFormat="1" applyFont="1" applyFill="1" applyBorder="1" applyAlignment="1">
      <alignment horizontal="right"/>
    </xf>
    <xf numFmtId="38" fontId="29" fillId="3" borderId="25" xfId="21" applyNumberFormat="1" applyFont="1" applyFill="1" applyBorder="1" applyAlignment="1">
      <alignment horizontal="right"/>
    </xf>
    <xf numFmtId="38" fontId="29" fillId="3" borderId="25" xfId="22" applyNumberFormat="1" applyFont="1" applyFill="1" applyBorder="1" applyAlignment="1">
      <alignment horizontal="right"/>
    </xf>
    <xf numFmtId="38" fontId="29" fillId="3" borderId="16" xfId="22" applyNumberFormat="1" applyFont="1" applyFill="1" applyBorder="1" applyAlignment="1">
      <alignment horizontal="right"/>
    </xf>
    <xf numFmtId="38" fontId="29" fillId="0" borderId="15" xfId="21" applyNumberFormat="1" applyFont="1" applyBorder="1" applyAlignment="1" applyProtection="1">
      <alignment horizontal="right"/>
      <protection locked="0"/>
    </xf>
    <xf numFmtId="38" fontId="29" fillId="0" borderId="15" xfId="22" applyNumberFormat="1" applyFont="1" applyBorder="1" applyAlignment="1" applyProtection="1">
      <alignment horizontal="right"/>
      <protection locked="0"/>
    </xf>
    <xf numFmtId="38" fontId="29" fillId="4" borderId="19" xfId="21" applyNumberFormat="1" applyFont="1" applyFill="1" applyBorder="1" applyAlignment="1">
      <alignment horizontal="right"/>
    </xf>
    <xf numFmtId="38" fontId="29" fillId="3" borderId="13" xfId="21" applyNumberFormat="1" applyFont="1" applyFill="1" applyBorder="1" applyAlignment="1">
      <alignment horizontal="right"/>
    </xf>
    <xf numFmtId="38" fontId="29" fillId="3" borderId="8" xfId="21" applyNumberFormat="1" applyFont="1" applyFill="1" applyBorder="1" applyAlignment="1">
      <alignment horizontal="right"/>
    </xf>
    <xf numFmtId="38" fontId="29" fillId="3" borderId="8" xfId="22" applyNumberFormat="1" applyFont="1" applyFill="1" applyBorder="1" applyAlignment="1">
      <alignment horizontal="right"/>
    </xf>
    <xf numFmtId="38" fontId="34" fillId="3" borderId="8" xfId="22" applyNumberFormat="1" applyFont="1" applyFill="1" applyBorder="1" applyAlignment="1">
      <alignment horizontal="right"/>
    </xf>
    <xf numFmtId="38" fontId="29" fillId="3" borderId="9" xfId="21" applyNumberFormat="1" applyFont="1" applyFill="1" applyBorder="1" applyAlignment="1">
      <alignment horizontal="right"/>
    </xf>
    <xf numFmtId="38" fontId="29" fillId="3" borderId="8" xfId="23" applyNumberFormat="1" applyFont="1" applyFill="1" applyBorder="1" applyAlignment="1">
      <alignment horizontal="right"/>
    </xf>
    <xf numFmtId="38" fontId="29" fillId="3" borderId="8" xfId="24" applyNumberFormat="1" applyFont="1" applyFill="1" applyBorder="1" applyAlignment="1">
      <alignment horizontal="right"/>
    </xf>
    <xf numFmtId="38" fontId="29" fillId="0" borderId="15" xfId="24" applyNumberFormat="1" applyFont="1" applyBorder="1" applyAlignment="1" applyProtection="1">
      <alignment horizontal="right"/>
      <protection locked="0"/>
    </xf>
    <xf numFmtId="38" fontId="29" fillId="3" borderId="15" xfId="24" applyNumberFormat="1" applyFont="1" applyFill="1" applyBorder="1" applyAlignment="1">
      <alignment horizontal="right"/>
    </xf>
    <xf numFmtId="38" fontId="29" fillId="4" borderId="19" xfId="24" applyNumberFormat="1" applyFont="1" applyFill="1" applyBorder="1" applyAlignment="1">
      <alignment horizontal="right"/>
    </xf>
    <xf numFmtId="49" fontId="28" fillId="4" borderId="28" xfId="23" applyNumberFormat="1" applyFont="1" applyFill="1" applyBorder="1" applyAlignment="1">
      <alignment horizontal="left" vertical="center" indent="2"/>
    </xf>
    <xf numFmtId="0" fontId="25" fillId="4" borderId="39" xfId="23" applyFont="1" applyFill="1" applyBorder="1" applyAlignment="1">
      <alignment horizontal="right"/>
    </xf>
    <xf numFmtId="38" fontId="29" fillId="4" borderId="19" xfId="23" applyNumberFormat="1" applyFont="1" applyFill="1" applyBorder="1" applyAlignment="1">
      <alignment horizontal="right"/>
    </xf>
    <xf numFmtId="0" fontId="28" fillId="3" borderId="37" xfId="23" applyFont="1" applyFill="1" applyBorder="1" applyAlignment="1">
      <alignment horizontal="center" vertical="center"/>
    </xf>
    <xf numFmtId="38" fontId="29" fillId="3" borderId="20" xfId="23" applyNumberFormat="1" applyFont="1" applyFill="1" applyBorder="1" applyAlignment="1">
      <alignment horizontal="right"/>
    </xf>
    <xf numFmtId="49" fontId="25" fillId="0" borderId="7" xfId="23" applyNumberFormat="1" applyFont="1" applyBorder="1" applyAlignment="1">
      <alignment horizontal="left" vertical="center" indent="1"/>
    </xf>
    <xf numFmtId="38" fontId="29" fillId="4" borderId="19" xfId="25" applyNumberFormat="1" applyFont="1" applyFill="1" applyBorder="1" applyAlignment="1">
      <alignment horizontal="right"/>
    </xf>
    <xf numFmtId="38" fontId="29" fillId="3" borderId="8" xfId="25" applyNumberFormat="1" applyFont="1" applyFill="1" applyBorder="1" applyAlignment="1">
      <alignment horizontal="right"/>
    </xf>
    <xf numFmtId="38" fontId="29" fillId="3" borderId="8" xfId="26" applyNumberFormat="1" applyFont="1" applyFill="1" applyBorder="1" applyAlignment="1">
      <alignment horizontal="right"/>
    </xf>
    <xf numFmtId="38" fontId="29" fillId="3" borderId="20" xfId="25" applyNumberFormat="1" applyFont="1" applyFill="1" applyBorder="1" applyAlignment="1">
      <alignment horizontal="right"/>
    </xf>
    <xf numFmtId="38" fontId="29" fillId="3" borderId="8" xfId="27" applyNumberFormat="1" applyFont="1" applyFill="1" applyBorder="1" applyAlignment="1">
      <alignment horizontal="right"/>
    </xf>
    <xf numFmtId="38" fontId="29" fillId="3" borderId="8" xfId="28" applyNumberFormat="1" applyFont="1" applyFill="1" applyBorder="1" applyAlignment="1">
      <alignment horizontal="right"/>
    </xf>
    <xf numFmtId="38" fontId="29" fillId="4" borderId="19" xfId="27" applyNumberFormat="1" applyFont="1" applyFill="1" applyBorder="1" applyAlignment="1">
      <alignment horizontal="right"/>
    </xf>
    <xf numFmtId="38" fontId="29" fillId="3" borderId="20" xfId="27" applyNumberFormat="1" applyFont="1" applyFill="1" applyBorder="1" applyAlignment="1">
      <alignment horizontal="right"/>
    </xf>
    <xf numFmtId="38" fontId="29" fillId="3" borderId="8" xfId="29" applyNumberFormat="1" applyFont="1" applyFill="1" applyBorder="1" applyAlignment="1">
      <alignment horizontal="right"/>
    </xf>
    <xf numFmtId="38" fontId="29" fillId="0" borderId="15" xfId="30" applyNumberFormat="1" applyFont="1" applyBorder="1" applyAlignment="1" applyProtection="1">
      <alignment horizontal="right"/>
      <protection locked="0"/>
    </xf>
    <xf numFmtId="38" fontId="29" fillId="3" borderId="8" xfId="30" applyNumberFormat="1" applyFont="1" applyFill="1" applyBorder="1" applyAlignment="1">
      <alignment horizontal="right"/>
    </xf>
    <xf numFmtId="38" fontId="29" fillId="4" borderId="19" xfId="29" applyNumberFormat="1" applyFont="1" applyFill="1" applyBorder="1" applyAlignment="1">
      <alignment horizontal="right"/>
    </xf>
    <xf numFmtId="38" fontId="29" fillId="3" borderId="15" xfId="30" applyNumberFormat="1" applyFont="1" applyFill="1" applyBorder="1" applyAlignment="1">
      <alignment horizontal="right"/>
    </xf>
    <xf numFmtId="38" fontId="29" fillId="3" borderId="2" xfId="30" applyNumberFormat="1" applyFont="1" applyFill="1" applyBorder="1" applyAlignment="1">
      <alignment horizontal="right"/>
    </xf>
    <xf numFmtId="38" fontId="29" fillId="0" borderId="2" xfId="30" applyNumberFormat="1" applyFont="1" applyBorder="1" applyAlignment="1" applyProtection="1">
      <alignment horizontal="right"/>
      <protection locked="0"/>
    </xf>
    <xf numFmtId="38" fontId="29" fillId="3" borderId="3" xfId="30" applyNumberFormat="1" applyFont="1" applyFill="1" applyBorder="1" applyAlignment="1">
      <alignment horizontal="right"/>
    </xf>
    <xf numFmtId="38" fontId="29" fillId="3" borderId="8" xfId="32" applyNumberFormat="1" applyFont="1" applyFill="1" applyBorder="1" applyAlignment="1">
      <alignment horizontal="right"/>
    </xf>
    <xf numFmtId="38" fontId="29" fillId="4" borderId="19" xfId="30" applyNumberFormat="1" applyFont="1" applyFill="1" applyBorder="1" applyAlignment="1">
      <alignment horizontal="right"/>
    </xf>
    <xf numFmtId="38" fontId="29" fillId="4" borderId="10" xfId="31" applyNumberFormat="1" applyFont="1" applyFill="1" applyBorder="1" applyAlignment="1">
      <alignment horizontal="right"/>
    </xf>
    <xf numFmtId="0" fontId="29" fillId="0" borderId="0" xfId="0" applyFont="1"/>
    <xf numFmtId="0" fontId="25" fillId="0" borderId="63" xfId="0" applyFont="1" applyBorder="1" applyAlignment="1">
      <alignment horizontal="left" vertical="center" indent="1"/>
    </xf>
    <xf numFmtId="0" fontId="35" fillId="0" borderId="0" xfId="0" applyFont="1" applyAlignment="1">
      <alignment horizontal="left" vertical="center"/>
    </xf>
    <xf numFmtId="167" fontId="29" fillId="0" borderId="0" xfId="0" applyNumberFormat="1" applyFont="1"/>
    <xf numFmtId="0" fontId="27" fillId="0" borderId="0" xfId="0" applyFont="1" applyAlignment="1">
      <alignment horizontal="center" vertical="center"/>
    </xf>
    <xf numFmtId="0" fontId="29" fillId="0" borderId="0" xfId="0" applyFont="1" applyAlignment="1">
      <alignment horizontal="left" indent="1"/>
    </xf>
    <xf numFmtId="0" fontId="40" fillId="0" borderId="0" xfId="0" applyFont="1" applyAlignment="1">
      <alignment horizontal="left" vertical="top"/>
    </xf>
    <xf numFmtId="0" fontId="38" fillId="0" borderId="0" xfId="0" applyFont="1" applyAlignment="1">
      <alignment horizontal="center" vertical="center"/>
    </xf>
    <xf numFmtId="0" fontId="30" fillId="0" borderId="0" xfId="0" applyFont="1"/>
    <xf numFmtId="0" fontId="39" fillId="0" borderId="0" xfId="0" applyFont="1" applyAlignment="1">
      <alignment horizontal="left" vertical="center"/>
    </xf>
    <xf numFmtId="0" fontId="41" fillId="0" borderId="0" xfId="0" applyFont="1" applyAlignment="1">
      <alignment horizontal="left" indent="2"/>
    </xf>
    <xf numFmtId="49" fontId="29" fillId="0" borderId="0" xfId="0" applyNumberFormat="1" applyFont="1" applyAlignment="1">
      <alignment horizontal="center"/>
    </xf>
    <xf numFmtId="0" fontId="30" fillId="0" borderId="0" xfId="0" applyFont="1" applyAlignment="1">
      <alignment horizontal="center" vertical="center"/>
    </xf>
    <xf numFmtId="49" fontId="42" fillId="0" borderId="0" xfId="0" applyNumberFormat="1" applyFont="1" applyAlignment="1">
      <alignment horizontal="center" vertical="center"/>
    </xf>
    <xf numFmtId="49" fontId="30" fillId="0" borderId="0" xfId="0" applyNumberFormat="1" applyFont="1" applyAlignment="1">
      <alignment horizontal="center" vertical="center"/>
    </xf>
    <xf numFmtId="49" fontId="43" fillId="0" borderId="0" xfId="0" applyNumberFormat="1" applyFont="1" applyAlignment="1">
      <alignment horizontal="center" vertical="top"/>
    </xf>
    <xf numFmtId="0" fontId="27" fillId="0" borderId="0" xfId="0" applyFont="1"/>
    <xf numFmtId="0" fontId="30" fillId="0" borderId="0" xfId="0" applyFont="1" applyAlignment="1">
      <alignment horizontal="left" indent="1"/>
    </xf>
    <xf numFmtId="49" fontId="41" fillId="0" borderId="0" xfId="0" applyNumberFormat="1" applyFont="1" applyAlignment="1">
      <alignment horizontal="left" indent="2"/>
    </xf>
    <xf numFmtId="49" fontId="41" fillId="0" borderId="0" xfId="0" applyNumberFormat="1" applyFont="1" applyAlignment="1">
      <alignment horizontal="left" vertical="center"/>
    </xf>
    <xf numFmtId="164" fontId="30" fillId="0" borderId="0" xfId="0" applyNumberFormat="1" applyFont="1" applyAlignment="1">
      <alignment horizontal="left" indent="1"/>
    </xf>
    <xf numFmtId="0" fontId="25" fillId="0" borderId="64" xfId="0" applyFont="1" applyBorder="1" applyAlignment="1">
      <alignment horizontal="left" vertical="center" indent="1"/>
    </xf>
    <xf numFmtId="168" fontId="29" fillId="0" borderId="0" xfId="0" applyNumberFormat="1" applyFont="1" applyAlignment="1">
      <alignment horizontal="left" vertical="center"/>
    </xf>
    <xf numFmtId="49" fontId="41" fillId="0" borderId="0" xfId="0" applyNumberFormat="1" applyFont="1" applyAlignment="1">
      <alignment horizontal="left" vertical="center" wrapText="1"/>
    </xf>
    <xf numFmtId="168" fontId="29" fillId="0" borderId="0" xfId="0" applyNumberFormat="1" applyFont="1" applyAlignment="1">
      <alignment horizontal="left" vertical="center" wrapText="1"/>
    </xf>
    <xf numFmtId="0" fontId="29" fillId="0" borderId="0" xfId="0" applyFont="1" applyAlignment="1">
      <alignment wrapText="1"/>
    </xf>
    <xf numFmtId="49" fontId="41" fillId="0" borderId="34" xfId="0" applyNumberFormat="1" applyFont="1" applyBorder="1" applyAlignment="1">
      <alignment horizontal="left" vertical="center"/>
    </xf>
    <xf numFmtId="168" fontId="29" fillId="0" borderId="34" xfId="0" applyNumberFormat="1" applyFont="1" applyBorder="1" applyAlignment="1">
      <alignment horizontal="left" vertical="center"/>
    </xf>
    <xf numFmtId="0" fontId="29" fillId="0" borderId="34" xfId="0" applyFont="1" applyBorder="1"/>
    <xf numFmtId="0" fontId="29" fillId="0" borderId="56" xfId="0" applyFont="1" applyBorder="1"/>
    <xf numFmtId="0" fontId="29" fillId="0" borderId="35" xfId="0" applyFont="1" applyBorder="1"/>
    <xf numFmtId="168" fontId="29" fillId="0" borderId="35" xfId="0" applyNumberFormat="1" applyFont="1" applyBorder="1" applyAlignment="1">
      <alignment horizontal="left" vertical="center"/>
    </xf>
    <xf numFmtId="0" fontId="45" fillId="0" borderId="0" xfId="0" applyFont="1" applyAlignment="1">
      <alignment horizontal="left"/>
    </xf>
    <xf numFmtId="0" fontId="30" fillId="0" borderId="0" xfId="0" applyFont="1" applyAlignment="1">
      <alignment horizontal="center"/>
    </xf>
    <xf numFmtId="49" fontId="39" fillId="0" borderId="0" xfId="0" applyNumberFormat="1" applyFont="1" applyAlignment="1">
      <alignment horizontal="left"/>
    </xf>
    <xf numFmtId="167" fontId="30" fillId="0" borderId="4" xfId="0" applyNumberFormat="1" applyFont="1" applyBorder="1" applyAlignment="1">
      <alignment horizontal="center"/>
    </xf>
    <xf numFmtId="167" fontId="30" fillId="0" borderId="0" xfId="0" applyNumberFormat="1" applyFont="1" applyAlignment="1">
      <alignment horizontal="center"/>
    </xf>
    <xf numFmtId="0" fontId="33" fillId="0" borderId="0" xfId="0" applyFont="1" applyAlignment="1">
      <alignment horizontal="left"/>
    </xf>
    <xf numFmtId="0" fontId="30" fillId="0" borderId="0" xfId="0" applyFont="1" applyAlignment="1">
      <alignment horizontal="left"/>
    </xf>
    <xf numFmtId="0" fontId="30" fillId="0" borderId="0" xfId="0" applyFont="1" applyAlignment="1">
      <alignment horizontal="right"/>
    </xf>
    <xf numFmtId="0" fontId="29" fillId="0" borderId="0" xfId="0" applyFont="1" applyAlignment="1">
      <alignment horizontal="right"/>
    </xf>
    <xf numFmtId="49" fontId="30" fillId="0" borderId="0" xfId="0" applyNumberFormat="1" applyFont="1" applyAlignment="1">
      <alignment horizontal="center"/>
    </xf>
    <xf numFmtId="0" fontId="46" fillId="0" borderId="0" xfId="0" applyFont="1"/>
    <xf numFmtId="0" fontId="27" fillId="0" borderId="0" xfId="0" applyFont="1" applyAlignment="1">
      <alignment horizontal="center"/>
    </xf>
    <xf numFmtId="0" fontId="30" fillId="0" borderId="0" xfId="0" applyFont="1" applyAlignment="1">
      <alignment horizontal="right" vertical="center"/>
    </xf>
    <xf numFmtId="0" fontId="29" fillId="0" borderId="0" xfId="52" applyFont="1"/>
    <xf numFmtId="49" fontId="25" fillId="0" borderId="0" xfId="0" applyNumberFormat="1" applyFont="1" applyAlignment="1">
      <alignment horizontal="right" vertical="center"/>
    </xf>
    <xf numFmtId="0" fontId="25" fillId="0" borderId="0" xfId="0" applyFont="1" applyAlignment="1">
      <alignment horizontal="left" vertical="center"/>
    </xf>
    <xf numFmtId="0" fontId="29" fillId="0" borderId="0" xfId="0" applyFont="1" applyAlignment="1">
      <alignment horizontal="right" vertical="top"/>
    </xf>
    <xf numFmtId="49" fontId="25" fillId="0" borderId="0" xfId="0" applyNumberFormat="1" applyFont="1" applyAlignment="1">
      <alignment horizontal="right"/>
    </xf>
    <xf numFmtId="0" fontId="48" fillId="0" borderId="0" xfId="0" applyFont="1" applyAlignment="1">
      <alignment horizontal="left" indent="3"/>
    </xf>
    <xf numFmtId="0" fontId="25" fillId="0" borderId="0" xfId="0" applyFont="1"/>
    <xf numFmtId="0" fontId="29" fillId="0" borderId="89" xfId="0" applyFont="1" applyBorder="1"/>
    <xf numFmtId="0" fontId="25" fillId="0" borderId="0" xfId="52" applyFont="1" applyAlignment="1">
      <alignment vertical="center"/>
    </xf>
    <xf numFmtId="49" fontId="27" fillId="0" borderId="14" xfId="51" applyNumberFormat="1" applyFont="1" applyBorder="1" applyAlignment="1">
      <alignment horizontal="center" vertical="center" wrapText="1"/>
    </xf>
    <xf numFmtId="38" fontId="29" fillId="0" borderId="2" xfId="33" applyNumberFormat="1" applyFont="1" applyBorder="1" applyAlignment="1" applyProtection="1">
      <alignment horizontal="right"/>
      <protection locked="0"/>
    </xf>
    <xf numFmtId="38" fontId="29" fillId="10" borderId="25" xfId="33" applyNumberFormat="1" applyFont="1" applyFill="1" applyBorder="1" applyAlignment="1">
      <alignment horizontal="right"/>
    </xf>
    <xf numFmtId="38" fontId="29" fillId="4" borderId="15" xfId="33" applyNumberFormat="1" applyFont="1" applyFill="1" applyBorder="1" applyAlignment="1">
      <alignment horizontal="right"/>
    </xf>
    <xf numFmtId="38" fontId="29" fillId="3" borderId="15" xfId="33" applyNumberFormat="1" applyFont="1" applyFill="1" applyBorder="1" applyAlignment="1">
      <alignment horizontal="right"/>
    </xf>
    <xf numFmtId="38" fontId="29" fillId="4" borderId="15" xfId="34" applyNumberFormat="1" applyFont="1" applyFill="1" applyBorder="1" applyAlignment="1">
      <alignment horizontal="right"/>
    </xf>
    <xf numFmtId="38" fontId="29" fillId="4" borderId="19" xfId="34" applyNumberFormat="1" applyFont="1" applyFill="1" applyBorder="1" applyAlignment="1">
      <alignment horizontal="right"/>
    </xf>
    <xf numFmtId="38" fontId="29" fillId="3" borderId="20" xfId="34" applyNumberFormat="1" applyFont="1" applyFill="1" applyBorder="1" applyAlignment="1">
      <alignment horizontal="right"/>
    </xf>
    <xf numFmtId="38" fontId="29" fillId="4" borderId="23" xfId="34" applyNumberFormat="1" applyFont="1" applyFill="1" applyBorder="1" applyAlignment="1">
      <alignment horizontal="right"/>
    </xf>
    <xf numFmtId="38" fontId="29" fillId="10" borderId="55" xfId="34" applyNumberFormat="1" applyFont="1" applyFill="1" applyBorder="1" applyAlignment="1">
      <alignment horizontal="right"/>
    </xf>
    <xf numFmtId="38" fontId="29" fillId="4" borderId="0" xfId="34" applyNumberFormat="1" applyFont="1" applyFill="1" applyAlignment="1">
      <alignment horizontal="right"/>
    </xf>
    <xf numFmtId="38" fontId="29" fillId="3" borderId="8" xfId="34" applyNumberFormat="1" applyFont="1" applyFill="1" applyBorder="1" applyAlignment="1">
      <alignment horizontal="right"/>
    </xf>
    <xf numFmtId="38" fontId="29" fillId="4" borderId="3" xfId="34" applyNumberFormat="1" applyFont="1" applyFill="1" applyBorder="1" applyAlignment="1">
      <alignment horizontal="right"/>
    </xf>
    <xf numFmtId="38" fontId="29" fillId="3" borderId="13" xfId="34" applyNumberFormat="1" applyFont="1" applyFill="1" applyBorder="1" applyAlignment="1">
      <alignment horizontal="right"/>
    </xf>
    <xf numFmtId="38" fontId="29" fillId="4" borderId="7" xfId="34" applyNumberFormat="1" applyFont="1" applyFill="1" applyBorder="1" applyAlignment="1">
      <alignment horizontal="right"/>
    </xf>
    <xf numFmtId="38" fontId="29" fillId="3" borderId="0" xfId="34" applyNumberFormat="1" applyFont="1" applyFill="1" applyAlignment="1">
      <alignment horizontal="right"/>
    </xf>
    <xf numFmtId="38" fontId="29" fillId="3" borderId="15" xfId="34" applyNumberFormat="1" applyFont="1" applyFill="1" applyBorder="1" applyAlignment="1">
      <alignment horizontal="right"/>
    </xf>
    <xf numFmtId="38" fontId="29" fillId="9" borderId="15" xfId="34" applyNumberFormat="1" applyFont="1" applyFill="1" applyBorder="1" applyAlignment="1">
      <alignment horizontal="right"/>
    </xf>
    <xf numFmtId="38" fontId="29" fillId="4" borderId="39" xfId="34" applyNumberFormat="1" applyFont="1" applyFill="1" applyBorder="1" applyAlignment="1">
      <alignment horizontal="right"/>
    </xf>
    <xf numFmtId="38" fontId="29" fillId="4" borderId="10" xfId="34" applyNumberFormat="1" applyFont="1" applyFill="1" applyBorder="1" applyAlignment="1">
      <alignment horizontal="right"/>
    </xf>
    <xf numFmtId="38" fontId="29" fillId="4" borderId="9" xfId="34" applyNumberFormat="1" applyFont="1" applyFill="1" applyBorder="1" applyAlignment="1">
      <alignment horizontal="right"/>
    </xf>
    <xf numFmtId="38" fontId="29" fillId="10" borderId="25" xfId="34" applyNumberFormat="1" applyFont="1" applyFill="1" applyBorder="1" applyAlignment="1">
      <alignment horizontal="right"/>
    </xf>
    <xf numFmtId="38" fontId="29" fillId="10" borderId="16" xfId="34" applyNumberFormat="1" applyFont="1" applyFill="1" applyBorder="1" applyAlignment="1">
      <alignment horizontal="right"/>
    </xf>
    <xf numFmtId="38" fontId="29" fillId="3" borderId="8" xfId="49" applyNumberFormat="1" applyFont="1" applyFill="1" applyBorder="1" applyAlignment="1">
      <alignment horizontal="right"/>
    </xf>
    <xf numFmtId="38" fontId="29" fillId="0" borderId="15" xfId="49" applyNumberFormat="1" applyFont="1" applyBorder="1" applyAlignment="1" applyProtection="1">
      <alignment horizontal="right"/>
      <protection locked="0"/>
    </xf>
    <xf numFmtId="38" fontId="29" fillId="3" borderId="8" xfId="50" applyNumberFormat="1" applyFont="1" applyFill="1" applyBorder="1" applyAlignment="1">
      <alignment horizontal="right"/>
    </xf>
    <xf numFmtId="38" fontId="29" fillId="0" borderId="15" xfId="50" applyNumberFormat="1" applyFont="1" applyBorder="1" applyAlignment="1" applyProtection="1">
      <alignment horizontal="right"/>
      <protection locked="0"/>
    </xf>
    <xf numFmtId="38" fontId="29" fillId="3" borderId="15" xfId="49" applyNumberFormat="1" applyFont="1" applyFill="1" applyBorder="1" applyAlignment="1">
      <alignment horizontal="right"/>
    </xf>
    <xf numFmtId="38" fontId="29" fillId="8" borderId="7" xfId="49" applyNumberFormat="1" applyFont="1" applyFill="1" applyBorder="1" applyAlignment="1">
      <alignment horizontal="right"/>
    </xf>
    <xf numFmtId="38" fontId="29" fillId="3" borderId="2" xfId="49" applyNumberFormat="1" applyFont="1" applyFill="1" applyBorder="1" applyAlignment="1">
      <alignment horizontal="right"/>
    </xf>
    <xf numFmtId="38" fontId="29" fillId="3" borderId="13" xfId="49" applyNumberFormat="1" applyFont="1" applyFill="1" applyBorder="1" applyAlignment="1">
      <alignment horizontal="right"/>
    </xf>
    <xf numFmtId="49" fontId="25" fillId="0" borderId="7" xfId="0" applyNumberFormat="1" applyFont="1" applyBorder="1" applyAlignment="1">
      <alignment horizontal="left" vertical="center" wrapText="1" indent="1"/>
    </xf>
    <xf numFmtId="38" fontId="29" fillId="8" borderId="15" xfId="49" applyNumberFormat="1" applyFont="1" applyFill="1" applyBorder="1" applyAlignment="1">
      <alignment horizontal="right"/>
    </xf>
    <xf numFmtId="38" fontId="29" fillId="3" borderId="3" xfId="49" applyNumberFormat="1" applyFont="1" applyFill="1" applyBorder="1" applyAlignment="1">
      <alignment horizontal="right"/>
    </xf>
    <xf numFmtId="0" fontId="25" fillId="0" borderId="7" xfId="0" applyFont="1" applyBorder="1" applyAlignment="1">
      <alignment horizontal="left" vertical="center" wrapText="1" indent="1"/>
    </xf>
    <xf numFmtId="38" fontId="29" fillId="3" borderId="3" xfId="50" applyNumberFormat="1" applyFont="1" applyFill="1" applyBorder="1" applyAlignment="1">
      <alignment horizontal="right"/>
    </xf>
    <xf numFmtId="38" fontId="29" fillId="3" borderId="15" xfId="50" applyNumberFormat="1" applyFont="1" applyFill="1" applyBorder="1" applyAlignment="1">
      <alignment horizontal="right"/>
    </xf>
    <xf numFmtId="38" fontId="29" fillId="3" borderId="38" xfId="50" applyNumberFormat="1" applyFont="1" applyFill="1" applyBorder="1" applyAlignment="1">
      <alignment horizontal="right"/>
    </xf>
    <xf numFmtId="38" fontId="29" fillId="8" borderId="15" xfId="50" applyNumberFormat="1" applyFont="1" applyFill="1" applyBorder="1" applyAlignment="1">
      <alignment horizontal="right"/>
    </xf>
    <xf numFmtId="38" fontId="29" fillId="3" borderId="2" xfId="50" applyNumberFormat="1" applyFont="1" applyFill="1" applyBorder="1" applyAlignment="1">
      <alignment horizontal="right"/>
    </xf>
    <xf numFmtId="38" fontId="29" fillId="3" borderId="13" xfId="50" applyNumberFormat="1" applyFont="1" applyFill="1" applyBorder="1" applyAlignment="1">
      <alignment horizontal="right"/>
    </xf>
    <xf numFmtId="38" fontId="34" fillId="3" borderId="8" xfId="50" applyNumberFormat="1" applyFont="1" applyFill="1" applyBorder="1" applyAlignment="1">
      <alignment horizontal="right"/>
    </xf>
    <xf numFmtId="38" fontId="29" fillId="4" borderId="23" xfId="0" applyNumberFormat="1" applyFont="1" applyFill="1" applyBorder="1" applyAlignment="1">
      <alignment horizontal="right"/>
    </xf>
    <xf numFmtId="38" fontId="29" fillId="3" borderId="9" xfId="36" applyNumberFormat="1" applyFont="1" applyFill="1" applyBorder="1" applyAlignment="1">
      <alignment horizontal="right"/>
    </xf>
    <xf numFmtId="38" fontId="29" fillId="3" borderId="0" xfId="36" applyNumberFormat="1" applyFont="1" applyFill="1" applyAlignment="1">
      <alignment horizontal="right"/>
    </xf>
    <xf numFmtId="38" fontId="29" fillId="3" borderId="8" xfId="36" applyNumberFormat="1" applyFont="1" applyFill="1" applyBorder="1" applyAlignment="1">
      <alignment horizontal="right"/>
    </xf>
    <xf numFmtId="38" fontId="29" fillId="3" borderId="8" xfId="36" applyNumberFormat="1" applyFont="1" applyFill="1" applyBorder="1" applyAlignment="1">
      <alignment horizontal="left"/>
    </xf>
    <xf numFmtId="38" fontId="29" fillId="9" borderId="3" xfId="36" applyNumberFormat="1" applyFont="1" applyFill="1" applyBorder="1" applyAlignment="1">
      <alignment horizontal="right"/>
    </xf>
    <xf numFmtId="38" fontId="29" fillId="0" borderId="2" xfId="36" applyNumberFormat="1" applyFont="1" applyBorder="1" applyAlignment="1" applyProtection="1">
      <alignment horizontal="right"/>
      <protection locked="0"/>
    </xf>
    <xf numFmtId="38" fontId="29" fillId="3" borderId="2" xfId="36" applyNumberFormat="1" applyFont="1" applyFill="1" applyBorder="1" applyAlignment="1">
      <alignment horizontal="right"/>
    </xf>
    <xf numFmtId="38" fontId="29" fillId="0" borderId="15" xfId="36" applyNumberFormat="1" applyFont="1" applyBorder="1" applyAlignment="1" applyProtection="1">
      <alignment horizontal="right"/>
      <protection locked="0"/>
    </xf>
    <xf numFmtId="38" fontId="29" fillId="3" borderId="3" xfId="36" applyNumberFormat="1" applyFont="1" applyFill="1" applyBorder="1" applyAlignment="1">
      <alignment horizontal="right"/>
    </xf>
    <xf numFmtId="38" fontId="29" fillId="0" borderId="3" xfId="36" applyNumberFormat="1" applyFont="1" applyBorder="1" applyAlignment="1" applyProtection="1">
      <alignment horizontal="right"/>
      <protection locked="0"/>
    </xf>
    <xf numFmtId="165" fontId="25" fillId="0" borderId="1" xfId="0" applyNumberFormat="1" applyFont="1" applyBorder="1" applyAlignment="1">
      <alignment horizontal="left" vertical="center" indent="1" readingOrder="1"/>
    </xf>
    <xf numFmtId="165" fontId="25" fillId="0" borderId="1" xfId="0" applyNumberFormat="1" applyFont="1" applyBorder="1" applyAlignment="1">
      <alignment horizontal="left" vertical="center" indent="1"/>
    </xf>
    <xf numFmtId="165" fontId="25" fillId="0" borderId="1" xfId="0" applyNumberFormat="1" applyFont="1" applyBorder="1" applyAlignment="1">
      <alignment horizontal="left" vertical="center" wrapText="1" indent="1"/>
    </xf>
    <xf numFmtId="0" fontId="25" fillId="0" borderId="0" xfId="0" applyFont="1" applyAlignment="1">
      <alignment horizontal="left" vertical="center" indent="1"/>
    </xf>
    <xf numFmtId="38" fontId="29" fillId="4" borderId="19" xfId="36" applyNumberFormat="1" applyFont="1" applyFill="1" applyBorder="1" applyAlignment="1">
      <alignment horizontal="right"/>
    </xf>
    <xf numFmtId="0" fontId="27" fillId="0" borderId="0" xfId="34" applyFont="1" applyAlignment="1">
      <alignment horizontal="centerContinuous" vertical="center"/>
    </xf>
    <xf numFmtId="0" fontId="28" fillId="0" borderId="57" xfId="34" applyFont="1" applyBorder="1" applyAlignment="1">
      <alignment horizontal="center" vertical="top" wrapText="1"/>
    </xf>
    <xf numFmtId="49" fontId="28" fillId="0" borderId="43" xfId="34" applyNumberFormat="1" applyFont="1" applyBorder="1" applyAlignment="1">
      <alignment horizontal="center" vertical="top"/>
    </xf>
    <xf numFmtId="0" fontId="27" fillId="0" borderId="62" xfId="34" applyFont="1" applyBorder="1" applyAlignment="1">
      <alignment horizontal="center" vertical="top" wrapText="1"/>
    </xf>
    <xf numFmtId="49" fontId="27" fillId="0" borderId="58" xfId="34" applyNumberFormat="1" applyFont="1" applyBorder="1" applyAlignment="1">
      <alignment horizontal="center" vertical="top" wrapText="1"/>
    </xf>
    <xf numFmtId="38" fontId="29" fillId="0" borderId="19" xfId="34" applyNumberFormat="1" applyFont="1" applyBorder="1" applyAlignment="1" applyProtection="1">
      <alignment horizontal="right"/>
      <protection locked="0"/>
    </xf>
    <xf numFmtId="38" fontId="29" fillId="10" borderId="50" xfId="34" applyNumberFormat="1" applyFont="1" applyFill="1" applyBorder="1" applyAlignment="1">
      <alignment horizontal="right"/>
    </xf>
    <xf numFmtId="38" fontId="29" fillId="0" borderId="3" xfId="34" applyNumberFormat="1" applyFont="1" applyBorder="1" applyAlignment="1" applyProtection="1">
      <alignment horizontal="right"/>
      <protection locked="0"/>
    </xf>
    <xf numFmtId="38" fontId="29" fillId="14" borderId="8" xfId="34" applyNumberFormat="1" applyFont="1" applyFill="1" applyBorder="1" applyAlignment="1">
      <alignment horizontal="right"/>
    </xf>
    <xf numFmtId="38" fontId="29" fillId="0" borderId="15" xfId="34" applyNumberFormat="1" applyFont="1" applyBorder="1" applyAlignment="1" applyProtection="1">
      <alignment horizontal="right"/>
      <protection locked="0"/>
    </xf>
    <xf numFmtId="38" fontId="29" fillId="14" borderId="15" xfId="34" applyNumberFormat="1" applyFont="1" applyFill="1" applyBorder="1" applyAlignment="1">
      <alignment horizontal="right"/>
    </xf>
    <xf numFmtId="38" fontId="29" fillId="4" borderId="19" xfId="33" applyNumberFormat="1" applyFont="1" applyFill="1" applyBorder="1" applyAlignment="1">
      <alignment horizontal="right"/>
    </xf>
    <xf numFmtId="38" fontId="29" fillId="4" borderId="10" xfId="33" applyNumberFormat="1" applyFont="1" applyFill="1" applyBorder="1" applyAlignment="1">
      <alignment horizontal="right"/>
    </xf>
    <xf numFmtId="38" fontId="25" fillId="10" borderId="55" xfId="34" applyNumberFormat="1" applyFont="1" applyFill="1" applyBorder="1" applyAlignment="1">
      <alignment horizontal="right" vertical="center"/>
    </xf>
    <xf numFmtId="38" fontId="25" fillId="10" borderId="50" xfId="34" applyNumberFormat="1" applyFont="1" applyFill="1" applyBorder="1" applyAlignment="1">
      <alignment horizontal="right" vertical="center"/>
    </xf>
    <xf numFmtId="38" fontId="29" fillId="4" borderId="8" xfId="34" applyNumberFormat="1" applyFont="1" applyFill="1" applyBorder="1" applyAlignment="1">
      <alignment horizontal="right"/>
    </xf>
    <xf numFmtId="0" fontId="27" fillId="0" borderId="7" xfId="34" applyFont="1" applyBorder="1" applyAlignment="1">
      <alignment vertical="center" wrapText="1"/>
    </xf>
    <xf numFmtId="49" fontId="27" fillId="0" borderId="8" xfId="6" applyNumberFormat="1" applyFont="1" applyBorder="1" applyAlignment="1">
      <alignment horizontal="center" vertical="center" wrapText="1"/>
    </xf>
    <xf numFmtId="38" fontId="29" fillId="10" borderId="16" xfId="33" applyNumberFormat="1" applyFont="1" applyFill="1" applyBorder="1" applyAlignment="1">
      <alignment horizontal="right"/>
    </xf>
    <xf numFmtId="38" fontId="29" fillId="11" borderId="7" xfId="33" applyNumberFormat="1" applyFont="1" applyFill="1" applyBorder="1" applyAlignment="1">
      <alignment horizontal="right"/>
    </xf>
    <xf numFmtId="38" fontId="29" fillId="11" borderId="25" xfId="33" applyNumberFormat="1" applyFont="1" applyFill="1" applyBorder="1" applyAlignment="1">
      <alignment horizontal="right"/>
    </xf>
    <xf numFmtId="38" fontId="29" fillId="11" borderId="16" xfId="33" applyNumberFormat="1" applyFont="1" applyFill="1" applyBorder="1" applyAlignment="1">
      <alignment horizontal="right"/>
    </xf>
    <xf numFmtId="38" fontId="29" fillId="0" borderId="88" xfId="33" applyNumberFormat="1" applyFont="1" applyBorder="1" applyAlignment="1" applyProtection="1">
      <alignment horizontal="right"/>
      <protection locked="0"/>
    </xf>
    <xf numFmtId="38" fontId="29" fillId="4" borderId="3" xfId="33" applyNumberFormat="1" applyFont="1" applyFill="1" applyBorder="1" applyAlignment="1">
      <alignment horizontal="right"/>
    </xf>
    <xf numFmtId="38" fontId="29" fillId="3" borderId="46" xfId="33" applyNumberFormat="1" applyFont="1" applyFill="1" applyBorder="1" applyAlignment="1">
      <alignment horizontal="right"/>
    </xf>
    <xf numFmtId="38" fontId="29" fillId="3" borderId="44" xfId="33" applyNumberFormat="1" applyFont="1" applyFill="1" applyBorder="1" applyAlignment="1">
      <alignment horizontal="right"/>
    </xf>
    <xf numFmtId="38" fontId="29" fillId="0" borderId="54" xfId="33" applyNumberFormat="1" applyFont="1" applyBorder="1" applyAlignment="1" applyProtection="1">
      <alignment horizontal="right"/>
      <protection locked="0"/>
    </xf>
    <xf numFmtId="38" fontId="29" fillId="0" borderId="15" xfId="33" applyNumberFormat="1" applyFont="1" applyBorder="1" applyAlignment="1" applyProtection="1">
      <alignment horizontal="right"/>
      <protection locked="0"/>
    </xf>
    <xf numFmtId="38" fontId="29" fillId="0" borderId="42" xfId="33" applyNumberFormat="1" applyFont="1" applyBorder="1" applyAlignment="1" applyProtection="1">
      <alignment horizontal="right"/>
      <protection locked="0"/>
    </xf>
    <xf numFmtId="38" fontId="29" fillId="3" borderId="43" xfId="33" applyNumberFormat="1" applyFont="1" applyFill="1" applyBorder="1" applyAlignment="1">
      <alignment horizontal="right"/>
    </xf>
    <xf numFmtId="38" fontId="29" fillId="3" borderId="17" xfId="33" applyNumberFormat="1" applyFont="1" applyFill="1" applyBorder="1" applyAlignment="1">
      <alignment horizontal="right"/>
    </xf>
    <xf numFmtId="38" fontId="29" fillId="3" borderId="45" xfId="33" applyNumberFormat="1" applyFont="1" applyFill="1" applyBorder="1" applyAlignment="1">
      <alignment horizontal="right"/>
    </xf>
    <xf numFmtId="38" fontId="29" fillId="3" borderId="18" xfId="33" applyNumberFormat="1" applyFont="1" applyFill="1" applyBorder="1" applyAlignment="1">
      <alignment horizontal="right"/>
    </xf>
    <xf numFmtId="38" fontId="29" fillId="11" borderId="21" xfId="33" applyNumberFormat="1" applyFont="1" applyFill="1" applyBorder="1" applyAlignment="1">
      <alignment horizontal="right"/>
    </xf>
    <xf numFmtId="38" fontId="29" fillId="11" borderId="55" xfId="33" applyNumberFormat="1" applyFont="1" applyFill="1" applyBorder="1" applyAlignment="1">
      <alignment horizontal="right"/>
    </xf>
    <xf numFmtId="38" fontId="29" fillId="11" borderId="50" xfId="33" applyNumberFormat="1" applyFont="1" applyFill="1" applyBorder="1" applyAlignment="1">
      <alignment horizontal="right"/>
    </xf>
    <xf numFmtId="38" fontId="29" fillId="3" borderId="14" xfId="33" applyNumberFormat="1" applyFont="1" applyFill="1" applyBorder="1" applyAlignment="1">
      <alignment horizontal="right"/>
    </xf>
    <xf numFmtId="38" fontId="29" fillId="3" borderId="33" xfId="33" applyNumberFormat="1" applyFont="1" applyFill="1" applyBorder="1" applyAlignment="1">
      <alignment horizontal="right"/>
    </xf>
    <xf numFmtId="38" fontId="29" fillId="3" borderId="37" xfId="33" applyNumberFormat="1" applyFont="1" applyFill="1" applyBorder="1" applyAlignment="1">
      <alignment horizontal="right"/>
    </xf>
    <xf numFmtId="38" fontId="29" fillId="3" borderId="21" xfId="34" applyNumberFormat="1" applyFont="1" applyFill="1" applyBorder="1" applyAlignment="1">
      <alignment horizontal="right"/>
    </xf>
    <xf numFmtId="38" fontId="29" fillId="3" borderId="55" xfId="34" applyNumberFormat="1" applyFont="1" applyFill="1" applyBorder="1" applyAlignment="1">
      <alignment horizontal="right"/>
    </xf>
    <xf numFmtId="38" fontId="29" fillId="3" borderId="50" xfId="34" applyNumberFormat="1" applyFont="1" applyFill="1" applyBorder="1" applyAlignment="1">
      <alignment horizontal="right"/>
    </xf>
    <xf numFmtId="38" fontId="29" fillId="4" borderId="2" xfId="33" applyNumberFormat="1" applyFont="1" applyFill="1" applyBorder="1" applyAlignment="1">
      <alignment horizontal="right"/>
    </xf>
    <xf numFmtId="38" fontId="29" fillId="4" borderId="19" xfId="35" applyNumberFormat="1" applyFont="1" applyFill="1" applyBorder="1" applyAlignment="1">
      <alignment horizontal="right"/>
    </xf>
    <xf numFmtId="38" fontId="29" fillId="3" borderId="21" xfId="35" applyNumberFormat="1" applyFont="1" applyFill="1" applyBorder="1" applyAlignment="1">
      <alignment horizontal="right"/>
    </xf>
    <xf numFmtId="38" fontId="29" fillId="3" borderId="55" xfId="35" applyNumberFormat="1" applyFont="1" applyFill="1" applyBorder="1" applyAlignment="1">
      <alignment horizontal="right"/>
    </xf>
    <xf numFmtId="38" fontId="29" fillId="3" borderId="50" xfId="35" applyNumberFormat="1" applyFont="1" applyFill="1" applyBorder="1" applyAlignment="1">
      <alignment horizontal="right"/>
    </xf>
    <xf numFmtId="38" fontId="29" fillId="4" borderId="23" xfId="35" applyNumberFormat="1" applyFont="1" applyFill="1" applyBorder="1" applyAlignment="1">
      <alignment horizontal="right"/>
    </xf>
    <xf numFmtId="38" fontId="29" fillId="4" borderId="20" xfId="33" applyNumberFormat="1" applyFont="1" applyFill="1" applyBorder="1" applyAlignment="1">
      <alignment horizontal="right"/>
    </xf>
    <xf numFmtId="38" fontId="29" fillId="4" borderId="23" xfId="33" applyNumberFormat="1" applyFont="1" applyFill="1" applyBorder="1" applyAlignment="1">
      <alignment horizontal="right"/>
    </xf>
    <xf numFmtId="38" fontId="29" fillId="11" borderId="21" xfId="35" applyNumberFormat="1" applyFont="1" applyFill="1" applyBorder="1" applyAlignment="1">
      <alignment horizontal="right"/>
    </xf>
    <xf numFmtId="38" fontId="29" fillId="11" borderId="55" xfId="35" applyNumberFormat="1" applyFont="1" applyFill="1" applyBorder="1" applyAlignment="1">
      <alignment horizontal="right"/>
    </xf>
    <xf numFmtId="38" fontId="29" fillId="11" borderId="50" xfId="35" applyNumberFormat="1" applyFont="1" applyFill="1" applyBorder="1" applyAlignment="1">
      <alignment horizontal="right"/>
    </xf>
    <xf numFmtId="38" fontId="29" fillId="3" borderId="7" xfId="35" applyNumberFormat="1" applyFont="1" applyFill="1" applyBorder="1" applyAlignment="1">
      <alignment horizontal="right"/>
    </xf>
    <xf numFmtId="38" fontId="29" fillId="3" borderId="25" xfId="35" applyNumberFormat="1" applyFont="1" applyFill="1" applyBorder="1" applyAlignment="1">
      <alignment horizontal="right"/>
    </xf>
    <xf numFmtId="38" fontId="29" fillId="3" borderId="16" xfId="35" applyNumberFormat="1" applyFont="1" applyFill="1" applyBorder="1" applyAlignment="1">
      <alignment horizontal="right"/>
    </xf>
    <xf numFmtId="38" fontId="29" fillId="3" borderId="8" xfId="35" applyNumberFormat="1" applyFont="1" applyFill="1" applyBorder="1" applyAlignment="1">
      <alignment horizontal="right"/>
    </xf>
    <xf numFmtId="38" fontId="29" fillId="3" borderId="12" xfId="35" applyNumberFormat="1" applyFont="1" applyFill="1" applyBorder="1" applyAlignment="1">
      <alignment horizontal="right"/>
    </xf>
    <xf numFmtId="38" fontId="29" fillId="3" borderId="12" xfId="36" applyNumberFormat="1" applyFont="1" applyFill="1" applyBorder="1" applyAlignment="1">
      <alignment horizontal="right"/>
    </xf>
    <xf numFmtId="38" fontId="29" fillId="4" borderId="26" xfId="36" applyNumberFormat="1" applyFont="1" applyFill="1" applyBorder="1" applyAlignment="1">
      <alignment horizontal="right"/>
    </xf>
    <xf numFmtId="38" fontId="29" fillId="4" borderId="23" xfId="36" applyNumberFormat="1" applyFont="1" applyFill="1" applyBorder="1" applyAlignment="1">
      <alignment horizontal="right"/>
    </xf>
    <xf numFmtId="38" fontId="29" fillId="0" borderId="20" xfId="36" applyNumberFormat="1" applyFont="1" applyBorder="1" applyAlignment="1" applyProtection="1">
      <alignment horizontal="right"/>
      <protection locked="0"/>
    </xf>
    <xf numFmtId="38" fontId="29" fillId="4" borderId="20" xfId="36" applyNumberFormat="1" applyFont="1" applyFill="1" applyBorder="1" applyAlignment="1">
      <alignment horizontal="right"/>
    </xf>
    <xf numFmtId="38" fontId="29" fillId="11" borderId="7" xfId="36" applyNumberFormat="1" applyFont="1" applyFill="1" applyBorder="1" applyAlignment="1">
      <alignment horizontal="right"/>
    </xf>
    <xf numFmtId="38" fontId="29" fillId="11" borderId="25" xfId="36" applyNumberFormat="1" applyFont="1" applyFill="1" applyBorder="1" applyAlignment="1">
      <alignment horizontal="right"/>
    </xf>
    <xf numFmtId="38" fontId="29" fillId="11" borderId="33" xfId="36" applyNumberFormat="1" applyFont="1" applyFill="1" applyBorder="1" applyAlignment="1">
      <alignment horizontal="right"/>
    </xf>
    <xf numFmtId="38" fontId="29" fillId="11" borderId="37" xfId="36" applyNumberFormat="1" applyFont="1" applyFill="1" applyBorder="1" applyAlignment="1">
      <alignment horizontal="right"/>
    </xf>
    <xf numFmtId="38" fontId="29" fillId="0" borderId="0" xfId="36" applyNumberFormat="1" applyFont="1" applyAlignment="1">
      <alignment horizontal="right"/>
    </xf>
    <xf numFmtId="38" fontId="29" fillId="11" borderId="7" xfId="37" applyNumberFormat="1" applyFont="1" applyFill="1" applyBorder="1" applyAlignment="1">
      <alignment horizontal="right"/>
    </xf>
    <xf numFmtId="38" fontId="29" fillId="11" borderId="25" xfId="37" applyNumberFormat="1" applyFont="1" applyFill="1" applyBorder="1" applyAlignment="1">
      <alignment horizontal="right"/>
    </xf>
    <xf numFmtId="38" fontId="29" fillId="11" borderId="16" xfId="37" applyNumberFormat="1" applyFont="1" applyFill="1" applyBorder="1" applyAlignment="1">
      <alignment horizontal="right"/>
    </xf>
    <xf numFmtId="38" fontId="29" fillId="3" borderId="8" xfId="37" applyNumberFormat="1" applyFont="1" applyFill="1" applyBorder="1" applyAlignment="1">
      <alignment horizontal="right"/>
    </xf>
    <xf numFmtId="38" fontId="29" fillId="3" borderId="0" xfId="37" applyNumberFormat="1" applyFont="1" applyFill="1" applyAlignment="1">
      <alignment horizontal="right"/>
    </xf>
    <xf numFmtId="38" fontId="29" fillId="0" borderId="15" xfId="37" applyNumberFormat="1" applyFont="1" applyBorder="1" applyAlignment="1" applyProtection="1">
      <alignment horizontal="right"/>
      <protection locked="0"/>
    </xf>
    <xf numFmtId="38" fontId="29" fillId="3" borderId="15" xfId="37" applyNumberFormat="1" applyFont="1" applyFill="1" applyBorder="1" applyAlignment="1">
      <alignment horizontal="right"/>
    </xf>
    <xf numFmtId="38" fontId="29" fillId="4" borderId="19" xfId="37" applyNumberFormat="1" applyFont="1" applyFill="1" applyBorder="1" applyAlignment="1">
      <alignment horizontal="right"/>
    </xf>
    <xf numFmtId="38" fontId="29" fillId="4" borderId="23" xfId="37" applyNumberFormat="1" applyFont="1" applyFill="1" applyBorder="1" applyAlignment="1">
      <alignment horizontal="right"/>
    </xf>
    <xf numFmtId="38" fontId="29" fillId="0" borderId="10" xfId="37" applyNumberFormat="1" applyFont="1" applyBorder="1" applyAlignment="1" applyProtection="1">
      <alignment horizontal="right"/>
      <protection locked="0"/>
    </xf>
    <xf numFmtId="38" fontId="29" fillId="0" borderId="24" xfId="37" applyNumberFormat="1" applyFont="1" applyBorder="1" applyAlignment="1" applyProtection="1">
      <alignment horizontal="right"/>
      <protection locked="0"/>
    </xf>
    <xf numFmtId="38" fontId="29" fillId="0" borderId="23" xfId="37" applyNumberFormat="1" applyFont="1" applyBorder="1" applyAlignment="1" applyProtection="1">
      <alignment horizontal="right"/>
      <protection locked="0"/>
    </xf>
    <xf numFmtId="38" fontId="29" fillId="11" borderId="21" xfId="37" applyNumberFormat="1" applyFont="1" applyFill="1" applyBorder="1" applyAlignment="1">
      <alignment horizontal="right"/>
    </xf>
    <xf numFmtId="38" fontId="29" fillId="11" borderId="55" xfId="37" applyNumberFormat="1" applyFont="1" applyFill="1" applyBorder="1" applyAlignment="1">
      <alignment horizontal="right"/>
    </xf>
    <xf numFmtId="38" fontId="29" fillId="11" borderId="50" xfId="37" applyNumberFormat="1" applyFont="1" applyFill="1" applyBorder="1" applyAlignment="1">
      <alignment horizontal="right"/>
    </xf>
    <xf numFmtId="38" fontId="29" fillId="3" borderId="14" xfId="37" applyNumberFormat="1" applyFont="1" applyFill="1" applyBorder="1" applyAlignment="1">
      <alignment horizontal="right"/>
    </xf>
    <xf numFmtId="38" fontId="29" fillId="0" borderId="14" xfId="37" applyNumberFormat="1" applyFont="1" applyBorder="1" applyAlignment="1" applyProtection="1">
      <alignment horizontal="right"/>
      <protection locked="0"/>
    </xf>
    <xf numFmtId="38" fontId="29" fillId="9" borderId="3" xfId="37" applyNumberFormat="1" applyFont="1" applyFill="1" applyBorder="1" applyAlignment="1">
      <alignment horizontal="right"/>
    </xf>
    <xf numFmtId="38" fontId="29" fillId="3" borderId="8" xfId="38" applyNumberFormat="1" applyFont="1" applyFill="1" applyBorder="1" applyAlignment="1">
      <alignment horizontal="right"/>
    </xf>
    <xf numFmtId="38" fontId="29" fillId="3" borderId="0" xfId="38" applyNumberFormat="1" applyFont="1" applyFill="1" applyAlignment="1">
      <alignment horizontal="right"/>
    </xf>
    <xf numFmtId="38" fontId="29" fillId="0" borderId="15" xfId="38" applyNumberFormat="1" applyFont="1" applyBorder="1" applyAlignment="1" applyProtection="1">
      <alignment horizontal="right"/>
      <protection locked="0"/>
    </xf>
    <xf numFmtId="38" fontId="29" fillId="4" borderId="23" xfId="38" applyNumberFormat="1" applyFont="1" applyFill="1" applyBorder="1" applyAlignment="1">
      <alignment horizontal="right"/>
    </xf>
    <xf numFmtId="38" fontId="29" fillId="3" borderId="10" xfId="37" applyNumberFormat="1" applyFont="1" applyFill="1" applyBorder="1" applyAlignment="1">
      <alignment horizontal="right"/>
    </xf>
    <xf numFmtId="38" fontId="29" fillId="0" borderId="9" xfId="38" applyNumberFormat="1" applyFont="1" applyBorder="1" applyAlignment="1" applyProtection="1">
      <alignment horizontal="right"/>
      <protection locked="0"/>
    </xf>
    <xf numFmtId="38" fontId="29" fillId="4" borderId="0" xfId="38" applyNumberFormat="1" applyFont="1" applyFill="1" applyAlignment="1">
      <alignment horizontal="right"/>
    </xf>
    <xf numFmtId="38" fontId="29" fillId="4" borderId="10" xfId="38" applyNumberFormat="1" applyFont="1" applyFill="1" applyBorder="1" applyAlignment="1">
      <alignment horizontal="right"/>
    </xf>
    <xf numFmtId="38" fontId="29" fillId="3" borderId="9" xfId="38" applyNumberFormat="1" applyFont="1" applyFill="1" applyBorder="1" applyAlignment="1">
      <alignment horizontal="right"/>
    </xf>
    <xf numFmtId="38" fontId="29" fillId="4" borderId="19" xfId="38" applyNumberFormat="1" applyFont="1" applyFill="1" applyBorder="1" applyAlignment="1">
      <alignment horizontal="right"/>
    </xf>
    <xf numFmtId="38" fontId="29" fillId="0" borderId="10" xfId="38" applyNumberFormat="1" applyFont="1" applyBorder="1" applyAlignment="1" applyProtection="1">
      <alignment horizontal="right"/>
      <protection locked="0"/>
    </xf>
    <xf numFmtId="38" fontId="29" fillId="3" borderId="20" xfId="38" applyNumberFormat="1" applyFont="1" applyFill="1" applyBorder="1" applyAlignment="1">
      <alignment horizontal="right"/>
    </xf>
    <xf numFmtId="38" fontId="29" fillId="3" borderId="55" xfId="38" applyNumberFormat="1" applyFont="1" applyFill="1" applyBorder="1" applyAlignment="1">
      <alignment horizontal="right"/>
    </xf>
    <xf numFmtId="38" fontId="29" fillId="3" borderId="50" xfId="38" applyNumberFormat="1" applyFont="1" applyFill="1" applyBorder="1" applyAlignment="1">
      <alignment horizontal="right"/>
    </xf>
    <xf numFmtId="38" fontId="29" fillId="0" borderId="0" xfId="38" applyNumberFormat="1" applyFont="1" applyAlignment="1">
      <alignment horizontal="right"/>
    </xf>
    <xf numFmtId="38" fontId="29" fillId="10" borderId="7" xfId="39" applyNumberFormat="1" applyFont="1" applyFill="1" applyBorder="1" applyAlignment="1">
      <alignment horizontal="right"/>
    </xf>
    <xf numFmtId="38" fontId="29" fillId="10" borderId="25" xfId="39" applyNumberFormat="1" applyFont="1" applyFill="1" applyBorder="1" applyAlignment="1">
      <alignment horizontal="right"/>
    </xf>
    <xf numFmtId="38" fontId="29" fillId="10" borderId="4" xfId="39" applyNumberFormat="1" applyFont="1" applyFill="1" applyBorder="1" applyAlignment="1">
      <alignment horizontal="right"/>
    </xf>
    <xf numFmtId="38" fontId="29" fillId="10" borderId="16" xfId="39" applyNumberFormat="1" applyFont="1" applyFill="1" applyBorder="1" applyAlignment="1">
      <alignment horizontal="right"/>
    </xf>
    <xf numFmtId="38" fontId="29" fillId="11" borderId="7" xfId="39" applyNumberFormat="1" applyFont="1" applyFill="1" applyBorder="1" applyAlignment="1">
      <alignment horizontal="right"/>
    </xf>
    <xf numFmtId="38" fontId="29" fillId="11" borderId="25" xfId="39" applyNumberFormat="1" applyFont="1" applyFill="1" applyBorder="1" applyAlignment="1">
      <alignment horizontal="right"/>
    </xf>
    <xf numFmtId="38" fontId="29" fillId="11" borderId="16" xfId="39" applyNumberFormat="1" applyFont="1" applyFill="1" applyBorder="1" applyAlignment="1">
      <alignment horizontal="right"/>
    </xf>
    <xf numFmtId="38" fontId="29" fillId="3" borderId="8" xfId="39" applyNumberFormat="1" applyFont="1" applyFill="1" applyBorder="1" applyAlignment="1">
      <alignment horizontal="right"/>
    </xf>
    <xf numFmtId="38" fontId="29" fillId="3" borderId="0" xfId="39" applyNumberFormat="1" applyFont="1" applyFill="1" applyAlignment="1">
      <alignment horizontal="right"/>
    </xf>
    <xf numFmtId="38" fontId="29" fillId="0" borderId="15" xfId="39" applyNumberFormat="1" applyFont="1" applyBorder="1" applyAlignment="1" applyProtection="1">
      <alignment horizontal="right"/>
      <protection locked="0"/>
    </xf>
    <xf numFmtId="38" fontId="29" fillId="9" borderId="15" xfId="39" applyNumberFormat="1" applyFont="1" applyFill="1" applyBorder="1" applyAlignment="1">
      <alignment horizontal="right"/>
    </xf>
    <xf numFmtId="38" fontId="29" fillId="0" borderId="12" xfId="39" applyNumberFormat="1" applyFont="1" applyBorder="1" applyAlignment="1" applyProtection="1">
      <alignment horizontal="right"/>
      <protection locked="0"/>
    </xf>
    <xf numFmtId="38" fontId="29" fillId="9" borderId="8" xfId="39" applyNumberFormat="1" applyFont="1" applyFill="1" applyBorder="1" applyAlignment="1">
      <alignment horizontal="right"/>
    </xf>
    <xf numFmtId="38" fontId="29" fillId="3" borderId="12" xfId="39" applyNumberFormat="1" applyFont="1" applyFill="1" applyBorder="1" applyAlignment="1">
      <alignment horizontal="right"/>
    </xf>
    <xf numFmtId="38" fontId="29" fillId="9" borderId="19" xfId="39" applyNumberFormat="1" applyFont="1" applyFill="1" applyBorder="1" applyAlignment="1">
      <alignment horizontal="right"/>
    </xf>
    <xf numFmtId="38" fontId="29" fillId="11" borderId="33" xfId="39" applyNumberFormat="1" applyFont="1" applyFill="1" applyBorder="1" applyAlignment="1">
      <alignment horizontal="right"/>
    </xf>
    <xf numFmtId="38" fontId="29" fillId="11" borderId="37" xfId="39" applyNumberFormat="1" applyFont="1" applyFill="1" applyBorder="1" applyAlignment="1">
      <alignment horizontal="right"/>
    </xf>
    <xf numFmtId="38" fontId="29" fillId="3" borderId="3" xfId="39" applyNumberFormat="1" applyFont="1" applyFill="1" applyBorder="1" applyAlignment="1">
      <alignment horizontal="right"/>
    </xf>
    <xf numFmtId="38" fontId="29" fillId="4" borderId="19" xfId="39" applyNumberFormat="1" applyFont="1" applyFill="1" applyBorder="1" applyAlignment="1">
      <alignment horizontal="right"/>
    </xf>
    <xf numFmtId="38" fontId="29" fillId="0" borderId="20" xfId="39" applyNumberFormat="1" applyFont="1" applyBorder="1" applyAlignment="1" applyProtection="1">
      <alignment horizontal="right"/>
      <protection locked="0"/>
    </xf>
    <xf numFmtId="38" fontId="29" fillId="3" borderId="13" xfId="39" applyNumberFormat="1" applyFont="1" applyFill="1" applyBorder="1" applyAlignment="1">
      <alignment horizontal="right"/>
    </xf>
    <xf numFmtId="38" fontId="29" fillId="4" borderId="47" xfId="39" applyNumberFormat="1" applyFont="1" applyFill="1" applyBorder="1" applyAlignment="1">
      <alignment horizontal="right"/>
    </xf>
    <xf numFmtId="38" fontId="29" fillId="0" borderId="27" xfId="39" applyNumberFormat="1" applyFont="1" applyBorder="1" applyAlignment="1" applyProtection="1">
      <alignment horizontal="right"/>
      <protection locked="0"/>
    </xf>
    <xf numFmtId="38" fontId="29" fillId="3" borderId="20" xfId="39" applyNumberFormat="1" applyFont="1" applyFill="1" applyBorder="1" applyAlignment="1">
      <alignment horizontal="right"/>
    </xf>
    <xf numFmtId="38" fontId="29" fillId="3" borderId="33" xfId="39" applyNumberFormat="1" applyFont="1" applyFill="1" applyBorder="1" applyAlignment="1">
      <alignment horizontal="right"/>
    </xf>
    <xf numFmtId="38" fontId="29" fillId="4" borderId="10" xfId="39" applyNumberFormat="1" applyFont="1" applyFill="1" applyBorder="1" applyAlignment="1">
      <alignment horizontal="right"/>
    </xf>
    <xf numFmtId="38" fontId="29" fillId="0" borderId="0" xfId="39" applyNumberFormat="1" applyFont="1" applyAlignment="1">
      <alignment horizontal="right"/>
    </xf>
    <xf numFmtId="38" fontId="29" fillId="0" borderId="13" xfId="39" applyNumberFormat="1" applyFont="1" applyBorder="1" applyAlignment="1">
      <alignment horizontal="right"/>
    </xf>
    <xf numFmtId="38" fontId="29" fillId="10" borderId="25" xfId="40" applyNumberFormat="1" applyFont="1" applyFill="1" applyBorder="1" applyAlignment="1">
      <alignment horizontal="right"/>
    </xf>
    <xf numFmtId="38" fontId="29" fillId="10" borderId="16" xfId="40" applyNumberFormat="1" applyFont="1" applyFill="1" applyBorder="1" applyAlignment="1">
      <alignment horizontal="right"/>
    </xf>
    <xf numFmtId="38" fontId="29" fillId="11" borderId="25" xfId="40" applyNumberFormat="1" applyFont="1" applyFill="1" applyBorder="1" applyAlignment="1">
      <alignment horizontal="right"/>
    </xf>
    <xf numFmtId="38" fontId="29" fillId="11" borderId="16" xfId="40" applyNumberFormat="1" applyFont="1" applyFill="1" applyBorder="1" applyAlignment="1">
      <alignment horizontal="right"/>
    </xf>
    <xf numFmtId="38" fontId="29" fillId="3" borderId="8" xfId="40" applyNumberFormat="1" applyFont="1" applyFill="1" applyBorder="1" applyAlignment="1">
      <alignment horizontal="right"/>
    </xf>
    <xf numFmtId="38" fontId="29" fillId="0" borderId="15" xfId="40" applyNumberFormat="1" applyFont="1" applyBorder="1" applyAlignment="1" applyProtection="1">
      <alignment horizontal="right"/>
      <protection locked="0"/>
    </xf>
    <xf numFmtId="38" fontId="29" fillId="4" borderId="23" xfId="40" applyNumberFormat="1" applyFont="1" applyFill="1" applyBorder="1" applyAlignment="1">
      <alignment horizontal="right"/>
    </xf>
    <xf numFmtId="38" fontId="29" fillId="11" borderId="21" xfId="40" applyNumberFormat="1" applyFont="1" applyFill="1" applyBorder="1" applyAlignment="1">
      <alignment horizontal="right"/>
    </xf>
    <xf numFmtId="38" fontId="29" fillId="11" borderId="55" xfId="40" applyNumberFormat="1" applyFont="1" applyFill="1" applyBorder="1" applyAlignment="1">
      <alignment horizontal="right"/>
    </xf>
    <xf numFmtId="38" fontId="29" fillId="11" borderId="50" xfId="40" applyNumberFormat="1" applyFont="1" applyFill="1" applyBorder="1" applyAlignment="1">
      <alignment horizontal="right"/>
    </xf>
    <xf numFmtId="38" fontId="29" fillId="3" borderId="0" xfId="40" applyNumberFormat="1" applyFont="1" applyFill="1" applyAlignment="1">
      <alignment horizontal="right"/>
    </xf>
    <xf numFmtId="38" fontId="29" fillId="3" borderId="12" xfId="40" applyNumberFormat="1" applyFont="1" applyFill="1" applyBorder="1" applyAlignment="1">
      <alignment horizontal="right"/>
    </xf>
    <xf numFmtId="38" fontId="29" fillId="4" borderId="19" xfId="40" applyNumberFormat="1" applyFont="1" applyFill="1" applyBorder="1" applyAlignment="1">
      <alignment horizontal="right"/>
    </xf>
    <xf numFmtId="38" fontId="29" fillId="0" borderId="0" xfId="40" applyNumberFormat="1" applyFont="1" applyAlignment="1" applyProtection="1">
      <alignment horizontal="right"/>
      <protection locked="0"/>
    </xf>
    <xf numFmtId="38" fontId="29" fillId="0" borderId="10" xfId="40" applyNumberFormat="1" applyFont="1" applyBorder="1" applyAlignment="1" applyProtection="1">
      <alignment horizontal="right"/>
      <protection locked="0"/>
    </xf>
    <xf numFmtId="38" fontId="29" fillId="4" borderId="10" xfId="40" applyNumberFormat="1" applyFont="1" applyFill="1" applyBorder="1" applyAlignment="1">
      <alignment horizontal="right"/>
    </xf>
    <xf numFmtId="38" fontId="29" fillId="11" borderId="7" xfId="40" applyNumberFormat="1" applyFont="1" applyFill="1" applyBorder="1" applyAlignment="1">
      <alignment horizontal="right"/>
    </xf>
    <xf numFmtId="38" fontId="29" fillId="11" borderId="33" xfId="40" applyNumberFormat="1" applyFont="1" applyFill="1" applyBorder="1" applyAlignment="1">
      <alignment horizontal="right"/>
    </xf>
    <xf numFmtId="38" fontId="29" fillId="11" borderId="37" xfId="40" applyNumberFormat="1" applyFont="1" applyFill="1" applyBorder="1" applyAlignment="1">
      <alignment horizontal="right"/>
    </xf>
    <xf numFmtId="38" fontId="29" fillId="3" borderId="8" xfId="41" applyNumberFormat="1" applyFont="1" applyFill="1" applyBorder="1" applyAlignment="1">
      <alignment horizontal="right"/>
    </xf>
    <xf numFmtId="38" fontId="29" fillId="4" borderId="19" xfId="41" applyNumberFormat="1" applyFont="1" applyFill="1" applyBorder="1" applyAlignment="1">
      <alignment horizontal="right"/>
    </xf>
    <xf numFmtId="38" fontId="29" fillId="4" borderId="8" xfId="33" applyNumberFormat="1" applyFont="1" applyFill="1" applyBorder="1" applyAlignment="1">
      <alignment horizontal="right"/>
    </xf>
    <xf numFmtId="38" fontId="29" fillId="4" borderId="10" xfId="41" applyNumberFormat="1" applyFont="1" applyFill="1" applyBorder="1" applyAlignment="1">
      <alignment horizontal="right"/>
    </xf>
    <xf numFmtId="38" fontId="29" fillId="0" borderId="9" xfId="41" applyNumberFormat="1" applyFont="1" applyBorder="1" applyAlignment="1" applyProtection="1">
      <alignment horizontal="right"/>
      <protection locked="0"/>
    </xf>
    <xf numFmtId="38" fontId="29" fillId="3" borderId="20" xfId="41" applyNumberFormat="1" applyFont="1" applyFill="1" applyBorder="1" applyAlignment="1">
      <alignment horizontal="right"/>
    </xf>
    <xf numFmtId="38" fontId="29" fillId="3" borderId="55" xfId="41" applyNumberFormat="1" applyFont="1" applyFill="1" applyBorder="1" applyAlignment="1">
      <alignment horizontal="right"/>
    </xf>
    <xf numFmtId="38" fontId="29" fillId="0" borderId="0" xfId="41" applyNumberFormat="1" applyFont="1" applyAlignment="1">
      <alignment horizontal="right"/>
    </xf>
    <xf numFmtId="38" fontId="29" fillId="10" borderId="25" xfId="42" applyNumberFormat="1" applyFont="1" applyFill="1" applyBorder="1" applyAlignment="1">
      <alignment horizontal="right"/>
    </xf>
    <xf numFmtId="38" fontId="29" fillId="10" borderId="16" xfId="42" applyNumberFormat="1" applyFont="1" applyFill="1" applyBorder="1" applyAlignment="1">
      <alignment horizontal="right"/>
    </xf>
    <xf numFmtId="38" fontId="29" fillId="11" borderId="25" xfId="42" applyNumberFormat="1" applyFont="1" applyFill="1" applyBorder="1" applyAlignment="1">
      <alignment horizontal="right"/>
    </xf>
    <xf numFmtId="38" fontId="29" fillId="11" borderId="16" xfId="42" applyNumberFormat="1" applyFont="1" applyFill="1" applyBorder="1" applyAlignment="1">
      <alignment horizontal="right"/>
    </xf>
    <xf numFmtId="38" fontId="29" fillId="0" borderId="3" xfId="42" applyNumberFormat="1" applyFont="1" applyBorder="1" applyAlignment="1" applyProtection="1">
      <alignment horizontal="right"/>
      <protection locked="0"/>
    </xf>
    <xf numFmtId="38" fontId="29" fillId="3" borderId="8" xfId="42" applyNumberFormat="1" applyFont="1" applyFill="1" applyBorder="1" applyAlignment="1">
      <alignment horizontal="right"/>
    </xf>
    <xf numFmtId="38" fontId="29" fillId="4" borderId="19" xfId="42" applyNumberFormat="1" applyFont="1" applyFill="1" applyBorder="1" applyAlignment="1">
      <alignment horizontal="right"/>
    </xf>
    <xf numFmtId="38" fontId="29" fillId="11" borderId="33" xfId="42" applyNumberFormat="1" applyFont="1" applyFill="1" applyBorder="1" applyAlignment="1">
      <alignment horizontal="right"/>
    </xf>
    <xf numFmtId="38" fontId="29" fillId="11" borderId="7" xfId="42" applyNumberFormat="1" applyFont="1" applyFill="1" applyBorder="1" applyAlignment="1">
      <alignment horizontal="right"/>
    </xf>
    <xf numFmtId="38" fontId="29" fillId="11" borderId="37" xfId="42" applyNumberFormat="1" applyFont="1" applyFill="1" applyBorder="1" applyAlignment="1">
      <alignment horizontal="right"/>
    </xf>
    <xf numFmtId="38" fontId="29" fillId="3" borderId="8" xfId="43" applyNumberFormat="1" applyFont="1" applyFill="1" applyBorder="1" applyAlignment="1">
      <alignment horizontal="right"/>
    </xf>
    <xf numFmtId="38" fontId="29" fillId="3" borderId="12" xfId="43" applyNumberFormat="1" applyFont="1" applyFill="1" applyBorder="1" applyAlignment="1">
      <alignment horizontal="right"/>
    </xf>
    <xf numFmtId="38" fontId="29" fillId="3" borderId="13" xfId="43" applyNumberFormat="1" applyFont="1" applyFill="1" applyBorder="1" applyAlignment="1">
      <alignment horizontal="right"/>
    </xf>
    <xf numFmtId="38" fontId="29" fillId="4" borderId="28" xfId="43" applyNumberFormat="1" applyFont="1" applyFill="1" applyBorder="1" applyAlignment="1">
      <alignment horizontal="right"/>
    </xf>
    <xf numFmtId="38" fontId="29" fillId="4" borderId="19" xfId="43" applyNumberFormat="1" applyFont="1" applyFill="1" applyBorder="1" applyAlignment="1">
      <alignment horizontal="right"/>
    </xf>
    <xf numFmtId="38" fontId="29" fillId="3" borderId="12" xfId="44" applyNumberFormat="1" applyFont="1" applyFill="1" applyBorder="1" applyAlignment="1">
      <alignment horizontal="right"/>
    </xf>
    <xf numFmtId="38" fontId="29" fillId="3" borderId="8" xfId="44" applyNumberFormat="1" applyFont="1" applyFill="1" applyBorder="1" applyAlignment="1">
      <alignment horizontal="right"/>
    </xf>
    <xf numFmtId="38" fontId="29" fillId="4" borderId="19" xfId="44" applyNumberFormat="1" applyFont="1" applyFill="1" applyBorder="1" applyAlignment="1">
      <alignment horizontal="right"/>
    </xf>
    <xf numFmtId="38" fontId="29" fillId="3" borderId="20" xfId="44" applyNumberFormat="1" applyFont="1" applyFill="1" applyBorder="1" applyAlignment="1">
      <alignment horizontal="right"/>
    </xf>
    <xf numFmtId="38" fontId="29" fillId="3" borderId="13" xfId="44" applyNumberFormat="1" applyFont="1" applyFill="1" applyBorder="1" applyAlignment="1">
      <alignment horizontal="right"/>
    </xf>
    <xf numFmtId="38" fontId="29" fillId="0" borderId="20" xfId="44" applyNumberFormat="1" applyFont="1" applyBorder="1" applyAlignment="1" applyProtection="1">
      <alignment horizontal="right"/>
      <protection locked="0"/>
    </xf>
    <xf numFmtId="38" fontId="29" fillId="4" borderId="23" xfId="44" applyNumberFormat="1" applyFont="1" applyFill="1" applyBorder="1" applyAlignment="1">
      <alignment horizontal="right"/>
    </xf>
    <xf numFmtId="38" fontId="29" fillId="0" borderId="9" xfId="45" applyNumberFormat="1" applyFont="1" applyBorder="1" applyAlignment="1" applyProtection="1">
      <alignment horizontal="right"/>
      <protection locked="0"/>
    </xf>
    <xf numFmtId="38" fontId="29" fillId="3" borderId="8" xfId="45" applyNumberFormat="1" applyFont="1" applyFill="1" applyBorder="1" applyAlignment="1">
      <alignment horizontal="right"/>
    </xf>
    <xf numFmtId="38" fontId="29" fillId="4" borderId="9" xfId="33" applyNumberFormat="1" applyFont="1" applyFill="1" applyBorder="1" applyAlignment="1">
      <alignment horizontal="right"/>
    </xf>
    <xf numFmtId="38" fontId="29" fillId="11" borderId="25" xfId="45" applyNumberFormat="1" applyFont="1" applyFill="1" applyBorder="1" applyAlignment="1">
      <alignment horizontal="right"/>
    </xf>
    <xf numFmtId="38" fontId="29" fillId="11" borderId="16" xfId="45" applyNumberFormat="1" applyFont="1" applyFill="1" applyBorder="1" applyAlignment="1">
      <alignment horizontal="right"/>
    </xf>
    <xf numFmtId="38" fontId="29" fillId="0" borderId="3" xfId="45" applyNumberFormat="1" applyFont="1" applyBorder="1" applyAlignment="1" applyProtection="1">
      <alignment horizontal="right"/>
      <protection locked="0"/>
    </xf>
    <xf numFmtId="38" fontId="29" fillId="9" borderId="3" xfId="45" applyNumberFormat="1" applyFont="1" applyFill="1" applyBorder="1" applyAlignment="1">
      <alignment horizontal="right"/>
    </xf>
    <xf numFmtId="38" fontId="29" fillId="0" borderId="15" xfId="45" applyNumberFormat="1" applyFont="1" applyBorder="1" applyAlignment="1" applyProtection="1">
      <alignment horizontal="right"/>
      <protection locked="0"/>
    </xf>
    <xf numFmtId="38" fontId="29" fillId="4" borderId="19" xfId="45" applyNumberFormat="1" applyFont="1" applyFill="1" applyBorder="1" applyAlignment="1">
      <alignment horizontal="right"/>
    </xf>
    <xf numFmtId="38" fontId="29" fillId="11" borderId="37" xfId="45" applyNumberFormat="1" applyFont="1" applyFill="1" applyBorder="1" applyAlignment="1">
      <alignment horizontal="right"/>
    </xf>
    <xf numFmtId="38" fontId="29" fillId="3" borderId="13" xfId="45" applyNumberFormat="1" applyFont="1" applyFill="1" applyBorder="1" applyAlignment="1">
      <alignment horizontal="right"/>
    </xf>
    <xf numFmtId="38" fontId="29" fillId="3" borderId="0" xfId="45" applyNumberFormat="1" applyFont="1" applyFill="1" applyAlignment="1">
      <alignment horizontal="right"/>
    </xf>
    <xf numFmtId="38" fontId="29" fillId="3" borderId="3" xfId="45" applyNumberFormat="1" applyFont="1" applyFill="1" applyBorder="1" applyAlignment="1">
      <alignment horizontal="right"/>
    </xf>
    <xf numFmtId="38" fontId="29" fillId="3" borderId="33" xfId="45" applyNumberFormat="1" applyFont="1" applyFill="1" applyBorder="1" applyAlignment="1">
      <alignment horizontal="right"/>
    </xf>
    <xf numFmtId="38" fontId="29" fillId="4" borderId="10" xfId="45" applyNumberFormat="1" applyFont="1" applyFill="1" applyBorder="1" applyAlignment="1">
      <alignment horizontal="right"/>
    </xf>
    <xf numFmtId="38" fontId="29" fillId="0" borderId="0" xfId="45" applyNumberFormat="1" applyFont="1" applyAlignment="1">
      <alignment horizontal="right"/>
    </xf>
    <xf numFmtId="38" fontId="29" fillId="10" borderId="7" xfId="46" applyNumberFormat="1" applyFont="1" applyFill="1" applyBorder="1" applyAlignment="1">
      <alignment horizontal="right"/>
    </xf>
    <xf numFmtId="38" fontId="29" fillId="10" borderId="25" xfId="46" applyNumberFormat="1" applyFont="1" applyFill="1" applyBorder="1" applyAlignment="1">
      <alignment horizontal="right"/>
    </xf>
    <xf numFmtId="38" fontId="29" fillId="10" borderId="16" xfId="46" applyNumberFormat="1" applyFont="1" applyFill="1" applyBorder="1" applyAlignment="1">
      <alignment horizontal="right"/>
    </xf>
    <xf numFmtId="38" fontId="29" fillId="11" borderId="7" xfId="46" applyNumberFormat="1" applyFont="1" applyFill="1" applyBorder="1" applyAlignment="1">
      <alignment horizontal="right"/>
    </xf>
    <xf numFmtId="38" fontId="29" fillId="11" borderId="25" xfId="46" applyNumberFormat="1" applyFont="1" applyFill="1" applyBorder="1" applyAlignment="1">
      <alignment horizontal="right"/>
    </xf>
    <xf numFmtId="38" fontId="29" fillId="11" borderId="16" xfId="46" applyNumberFormat="1" applyFont="1" applyFill="1" applyBorder="1" applyAlignment="1">
      <alignment horizontal="right"/>
    </xf>
    <xf numFmtId="38" fontId="29" fillId="3" borderId="8" xfId="46" applyNumberFormat="1" applyFont="1" applyFill="1" applyBorder="1" applyAlignment="1">
      <alignment horizontal="right"/>
    </xf>
    <xf numFmtId="38" fontId="29" fillId="3" borderId="3" xfId="46" applyNumberFormat="1" applyFont="1" applyFill="1" applyBorder="1" applyAlignment="1">
      <alignment horizontal="right"/>
    </xf>
    <xf numFmtId="38" fontId="29" fillId="3" borderId="14" xfId="46" applyNumberFormat="1" applyFont="1" applyFill="1" applyBorder="1" applyAlignment="1">
      <alignment horizontal="right"/>
    </xf>
    <xf numFmtId="38" fontId="29" fillId="4" borderId="19" xfId="46" applyNumberFormat="1" applyFont="1" applyFill="1" applyBorder="1" applyAlignment="1">
      <alignment horizontal="right"/>
    </xf>
    <xf numFmtId="38" fontId="29" fillId="11" borderId="14" xfId="46" applyNumberFormat="1" applyFont="1" applyFill="1" applyBorder="1" applyAlignment="1">
      <alignment horizontal="right"/>
    </xf>
    <xf numFmtId="38" fontId="29" fillId="11" borderId="33" xfId="46" applyNumberFormat="1" applyFont="1" applyFill="1" applyBorder="1" applyAlignment="1">
      <alignment horizontal="right"/>
    </xf>
    <xf numFmtId="38" fontId="29" fillId="11" borderId="37" xfId="46" applyNumberFormat="1" applyFont="1" applyFill="1" applyBorder="1" applyAlignment="1">
      <alignment horizontal="right"/>
    </xf>
    <xf numFmtId="38" fontId="29" fillId="3" borderId="0" xfId="46" applyNumberFormat="1" applyFont="1" applyFill="1" applyAlignment="1">
      <alignment horizontal="right"/>
    </xf>
    <xf numFmtId="38" fontId="29" fillId="9" borderId="2" xfId="46" applyNumberFormat="1" applyFont="1" applyFill="1" applyBorder="1" applyAlignment="1">
      <alignment horizontal="right"/>
    </xf>
    <xf numFmtId="38" fontId="29" fillId="4" borderId="2" xfId="46" applyNumberFormat="1" applyFont="1" applyFill="1" applyBorder="1" applyAlignment="1">
      <alignment horizontal="right"/>
    </xf>
    <xf numFmtId="38" fontId="29" fillId="3" borderId="12" xfId="46" applyNumberFormat="1" applyFont="1" applyFill="1" applyBorder="1" applyAlignment="1">
      <alignment horizontal="right"/>
    </xf>
    <xf numFmtId="38" fontId="29" fillId="0" borderId="47" xfId="46" applyNumberFormat="1" applyFont="1" applyBorder="1" applyAlignment="1" applyProtection="1">
      <alignment horizontal="right"/>
      <protection locked="0"/>
    </xf>
    <xf numFmtId="38" fontId="29" fillId="4" borderId="23" xfId="46" applyNumberFormat="1" applyFont="1" applyFill="1" applyBorder="1" applyAlignment="1">
      <alignment horizontal="right"/>
    </xf>
    <xf numFmtId="38" fontId="29" fillId="8" borderId="19" xfId="46" applyNumberFormat="1" applyFont="1" applyFill="1" applyBorder="1" applyAlignment="1">
      <alignment horizontal="right"/>
    </xf>
    <xf numFmtId="38" fontId="29" fillId="4" borderId="10" xfId="46" applyNumberFormat="1" applyFont="1" applyFill="1" applyBorder="1" applyAlignment="1">
      <alignment horizontal="right"/>
    </xf>
    <xf numFmtId="38" fontId="29" fillId="0" borderId="0" xfId="46" applyNumberFormat="1" applyFont="1" applyAlignment="1">
      <alignment horizontal="right"/>
    </xf>
    <xf numFmtId="38" fontId="29" fillId="10" borderId="25" xfId="46" applyNumberFormat="1" applyFont="1" applyFill="1" applyBorder="1" applyAlignment="1">
      <alignment horizontal="left" vertical="center"/>
    </xf>
    <xf numFmtId="38" fontId="29" fillId="10" borderId="7" xfId="48" applyNumberFormat="1" applyFont="1" applyFill="1" applyBorder="1" applyAlignment="1">
      <alignment horizontal="right"/>
    </xf>
    <xf numFmtId="38" fontId="29" fillId="10" borderId="25" xfId="48" applyNumberFormat="1" applyFont="1" applyFill="1" applyBorder="1" applyAlignment="1">
      <alignment horizontal="right"/>
    </xf>
    <xf numFmtId="38" fontId="29" fillId="10" borderId="16" xfId="48" applyNumberFormat="1" applyFont="1" applyFill="1" applyBorder="1" applyAlignment="1">
      <alignment horizontal="right"/>
    </xf>
    <xf numFmtId="38" fontId="29" fillId="11" borderId="7" xfId="48" applyNumberFormat="1" applyFont="1" applyFill="1" applyBorder="1" applyAlignment="1">
      <alignment horizontal="right"/>
    </xf>
    <xf numFmtId="38" fontId="29" fillId="11" borderId="25" xfId="48" applyNumberFormat="1" applyFont="1" applyFill="1" applyBorder="1" applyAlignment="1">
      <alignment horizontal="right"/>
    </xf>
    <xf numFmtId="38" fontId="29" fillId="11" borderId="16" xfId="48" applyNumberFormat="1" applyFont="1" applyFill="1" applyBorder="1" applyAlignment="1">
      <alignment horizontal="right"/>
    </xf>
    <xf numFmtId="38" fontId="29" fillId="3" borderId="8" xfId="48" applyNumberFormat="1" applyFont="1" applyFill="1" applyBorder="1" applyAlignment="1">
      <alignment horizontal="right"/>
    </xf>
    <xf numFmtId="38" fontId="29" fillId="0" borderId="15" xfId="48" applyNumberFormat="1" applyFont="1" applyBorder="1" applyAlignment="1" applyProtection="1">
      <alignment horizontal="right"/>
      <protection locked="0"/>
    </xf>
    <xf numFmtId="38" fontId="29" fillId="4" borderId="8" xfId="48" applyNumberFormat="1" applyFont="1" applyFill="1" applyBorder="1" applyAlignment="1">
      <alignment horizontal="right"/>
    </xf>
    <xf numFmtId="38" fontId="29" fillId="4" borderId="23" xfId="48" applyNumberFormat="1" applyFont="1" applyFill="1" applyBorder="1" applyAlignment="1">
      <alignment horizontal="right"/>
    </xf>
    <xf numFmtId="38" fontId="29" fillId="0" borderId="20" xfId="48" applyNumberFormat="1" applyFont="1" applyBorder="1" applyAlignment="1" applyProtection="1">
      <alignment horizontal="right"/>
      <protection locked="0"/>
    </xf>
    <xf numFmtId="38" fontId="29" fillId="11" borderId="14" xfId="48" applyNumberFormat="1" applyFont="1" applyFill="1" applyBorder="1" applyAlignment="1">
      <alignment horizontal="right"/>
    </xf>
    <xf numFmtId="38" fontId="29" fillId="11" borderId="33" xfId="48" applyNumberFormat="1" applyFont="1" applyFill="1" applyBorder="1" applyAlignment="1">
      <alignment horizontal="right"/>
    </xf>
    <xf numFmtId="38" fontId="29" fillId="11" borderId="37" xfId="48" applyNumberFormat="1" applyFont="1" applyFill="1" applyBorder="1" applyAlignment="1">
      <alignment horizontal="right"/>
    </xf>
    <xf numFmtId="38" fontId="29" fillId="0" borderId="3" xfId="48" applyNumberFormat="1" applyFont="1" applyBorder="1" applyAlignment="1" applyProtection="1">
      <alignment horizontal="right"/>
      <protection locked="0"/>
    </xf>
    <xf numFmtId="38" fontId="29" fillId="3" borderId="0" xfId="48" applyNumberFormat="1" applyFont="1" applyFill="1" applyAlignment="1">
      <alignment horizontal="right"/>
    </xf>
    <xf numFmtId="38" fontId="29" fillId="9" borderId="3" xfId="48" applyNumberFormat="1" applyFont="1" applyFill="1" applyBorder="1" applyAlignment="1">
      <alignment horizontal="right"/>
    </xf>
    <xf numFmtId="38" fontId="29" fillId="9" borderId="15" xfId="48" applyNumberFormat="1" applyFont="1" applyFill="1" applyBorder="1" applyAlignment="1">
      <alignment horizontal="right"/>
    </xf>
    <xf numFmtId="38" fontId="29" fillId="4" borderId="19" xfId="48" applyNumberFormat="1" applyFont="1" applyFill="1" applyBorder="1" applyAlignment="1">
      <alignment horizontal="right"/>
    </xf>
    <xf numFmtId="38" fontId="29" fillId="8" borderId="19" xfId="33" applyNumberFormat="1" applyFont="1" applyFill="1" applyBorder="1" applyAlignment="1">
      <alignment horizontal="right"/>
    </xf>
    <xf numFmtId="38" fontId="29" fillId="0" borderId="10" xfId="48" applyNumberFormat="1" applyFont="1" applyBorder="1" applyAlignment="1" applyProtection="1">
      <alignment horizontal="right"/>
      <protection locked="0"/>
    </xf>
    <xf numFmtId="0" fontId="30" fillId="0" borderId="0" xfId="0" applyFont="1" applyAlignment="1">
      <alignment vertical="center"/>
    </xf>
    <xf numFmtId="0" fontId="28" fillId="0" borderId="15" xfId="0" applyFont="1" applyBorder="1" applyAlignment="1">
      <alignment horizontal="center" vertical="center" wrapText="1"/>
    </xf>
    <xf numFmtId="0" fontId="27" fillId="0" borderId="15" xfId="0" applyFont="1" applyBorder="1" applyAlignment="1">
      <alignment horizontal="left" vertical="center" wrapText="1" indent="1"/>
    </xf>
    <xf numFmtId="38" fontId="29" fillId="4" borderId="15" xfId="0" applyNumberFormat="1" applyFont="1" applyFill="1" applyBorder="1" applyAlignment="1">
      <alignment horizontal="right" vertical="center"/>
    </xf>
    <xf numFmtId="38" fontId="27" fillId="4" borderId="15" xfId="0" applyNumberFormat="1" applyFont="1" applyFill="1" applyBorder="1" applyAlignment="1">
      <alignment horizontal="right" vertical="center"/>
    </xf>
    <xf numFmtId="0" fontId="30" fillId="0" borderId="0" xfId="0" applyFont="1" applyAlignment="1">
      <alignment horizontal="left" vertical="center"/>
    </xf>
    <xf numFmtId="38" fontId="29" fillId="4" borderId="19" xfId="0" applyNumberFormat="1" applyFont="1" applyFill="1" applyBorder="1" applyAlignment="1">
      <alignment horizontal="right" vertical="center"/>
    </xf>
    <xf numFmtId="38" fontId="29" fillId="3" borderId="15" xfId="0" applyNumberFormat="1" applyFont="1" applyFill="1" applyBorder="1" applyAlignment="1">
      <alignment horizontal="right" vertical="center"/>
    </xf>
    <xf numFmtId="38" fontId="27" fillId="4" borderId="19" xfId="0" applyNumberFormat="1" applyFont="1" applyFill="1" applyBorder="1" applyAlignment="1">
      <alignment horizontal="right" vertical="center"/>
    </xf>
    <xf numFmtId="0" fontId="28" fillId="0" borderId="2" xfId="0" applyFont="1" applyBorder="1" applyAlignment="1">
      <alignment horizontal="left" vertical="center" wrapText="1" indent="2"/>
    </xf>
    <xf numFmtId="38" fontId="29" fillId="4" borderId="23" xfId="0" applyNumberFormat="1" applyFont="1" applyFill="1" applyBorder="1" applyAlignment="1">
      <alignment horizontal="right" vertical="center"/>
    </xf>
    <xf numFmtId="38" fontId="27" fillId="4" borderId="23" xfId="0" applyNumberFormat="1" applyFont="1" applyFill="1" applyBorder="1" applyAlignment="1">
      <alignment horizontal="right" vertical="center"/>
    </xf>
    <xf numFmtId="0" fontId="28" fillId="0" borderId="15" xfId="0" applyFont="1" applyBorder="1" applyAlignment="1">
      <alignment horizontal="left" vertical="center" indent="1"/>
    </xf>
    <xf numFmtId="38" fontId="29" fillId="4" borderId="10" xfId="0" applyNumberFormat="1" applyFont="1" applyFill="1" applyBorder="1" applyAlignment="1">
      <alignment horizontal="right" vertical="center"/>
    </xf>
    <xf numFmtId="0" fontId="43" fillId="0" borderId="0" xfId="0" applyFont="1" applyAlignment="1">
      <alignment horizontal="left" vertical="top" wrapText="1" indent="1"/>
    </xf>
    <xf numFmtId="0" fontId="54" fillId="0" borderId="0" xfId="0" applyFont="1" applyAlignment="1">
      <alignment horizontal="left" wrapText="1" indent="1"/>
    </xf>
    <xf numFmtId="0" fontId="25" fillId="0" borderId="0" xfId="0" applyFont="1" applyAlignment="1">
      <alignment horizontal="left" vertical="center" wrapText="1"/>
    </xf>
    <xf numFmtId="0" fontId="52" fillId="0" borderId="0" xfId="0" applyFont="1" applyAlignment="1">
      <alignment horizontal="left" vertical="center" wrapText="1" indent="1"/>
    </xf>
    <xf numFmtId="0" fontId="54" fillId="0" borderId="0" xfId="0" applyFont="1" applyAlignment="1">
      <alignment horizontal="left" vertical="center" wrapText="1" indent="1"/>
    </xf>
    <xf numFmtId="0" fontId="54" fillId="0" borderId="0" xfId="0" applyFont="1" applyAlignment="1">
      <alignment horizontal="center" vertical="center" wrapText="1"/>
    </xf>
    <xf numFmtId="0" fontId="25" fillId="0" borderId="0" xfId="0" applyFont="1" applyAlignment="1">
      <alignment horizontal="center" vertical="center" wrapText="1"/>
    </xf>
    <xf numFmtId="0" fontId="30" fillId="0" borderId="0" xfId="0" applyFont="1" applyAlignment="1">
      <alignment horizontal="left" vertical="center" wrapText="1"/>
    </xf>
    <xf numFmtId="38" fontId="29" fillId="0" borderId="15" xfId="0" applyNumberFormat="1" applyFont="1" applyBorder="1" applyAlignment="1" applyProtection="1">
      <alignment vertical="center"/>
      <protection locked="0"/>
    </xf>
    <xf numFmtId="38" fontId="29" fillId="4" borderId="15" xfId="0" applyNumberFormat="1" applyFont="1" applyFill="1" applyBorder="1" applyAlignment="1">
      <alignment vertical="center"/>
    </xf>
    <xf numFmtId="38" fontId="29" fillId="0" borderId="15" xfId="0" applyNumberFormat="1" applyFont="1" applyBorder="1" applyProtection="1">
      <protection locked="0"/>
    </xf>
    <xf numFmtId="38" fontId="29" fillId="4" borderId="19" xfId="0" applyNumberFormat="1" applyFont="1" applyFill="1" applyBorder="1" applyAlignment="1">
      <alignment vertical="center"/>
    </xf>
    <xf numFmtId="38" fontId="29" fillId="0" borderId="19" xfId="0" applyNumberFormat="1" applyFont="1" applyBorder="1" applyAlignment="1" applyProtection="1">
      <alignment vertical="center"/>
      <protection locked="0"/>
    </xf>
    <xf numFmtId="38" fontId="29" fillId="0" borderId="10" xfId="0" applyNumberFormat="1" applyFont="1" applyBorder="1" applyAlignment="1" applyProtection="1">
      <alignment vertical="center"/>
      <protection locked="0"/>
    </xf>
    <xf numFmtId="0" fontId="29" fillId="0" borderId="0" xfId="0" applyFont="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29" fillId="0" borderId="0" xfId="0" applyFont="1" applyAlignment="1" applyProtection="1">
      <alignment horizontal="left" vertical="center"/>
      <protection locked="0"/>
    </xf>
    <xf numFmtId="0" fontId="30" fillId="0" borderId="0" xfId="0" applyFont="1" applyProtection="1">
      <protection locked="0"/>
    </xf>
    <xf numFmtId="0" fontId="30" fillId="0" borderId="0" xfId="0" applyFont="1" applyAlignment="1" applyProtection="1">
      <alignment horizontal="left" vertical="center"/>
      <protection locked="0"/>
    </xf>
    <xf numFmtId="49" fontId="27" fillId="0" borderId="0" xfId="0" applyNumberFormat="1" applyFont="1" applyAlignment="1" applyProtection="1">
      <alignment horizontal="left" indent="2"/>
      <protection locked="0"/>
    </xf>
    <xf numFmtId="0" fontId="29" fillId="0" borderId="31" xfId="0" applyFont="1" applyBorder="1" applyAlignment="1" applyProtection="1">
      <alignment horizontal="left" vertical="center" wrapText="1"/>
      <protection locked="0"/>
    </xf>
    <xf numFmtId="38" fontId="29" fillId="0" borderId="31" xfId="0" applyNumberFormat="1" applyFont="1" applyBorder="1" applyAlignment="1" applyProtection="1">
      <alignment horizontal="right" vertical="center"/>
      <protection locked="0"/>
    </xf>
    <xf numFmtId="0" fontId="29" fillId="0" borderId="1" xfId="0" applyFont="1" applyBorder="1" applyAlignment="1" applyProtection="1">
      <alignment horizontal="left" vertical="center" wrapText="1"/>
      <protection locked="0"/>
    </xf>
    <xf numFmtId="38" fontId="29" fillId="0" borderId="1" xfId="0" applyNumberFormat="1" applyFont="1" applyBorder="1" applyAlignment="1" applyProtection="1">
      <alignment horizontal="right" vertical="center"/>
      <protection locked="0"/>
    </xf>
    <xf numFmtId="0" fontId="29" fillId="0" borderId="1" xfId="0" applyFont="1" applyBorder="1" applyAlignment="1" applyProtection="1">
      <alignment horizontal="left" vertical="top" wrapText="1"/>
      <protection locked="0"/>
    </xf>
    <xf numFmtId="165" fontId="30" fillId="0" borderId="14" xfId="0" applyNumberFormat="1" applyFont="1" applyBorder="1" applyAlignment="1">
      <alignment horizontal="left" vertical="center"/>
    </xf>
    <xf numFmtId="165" fontId="30" fillId="0" borderId="7" xfId="0" applyNumberFormat="1" applyFont="1" applyBorder="1" applyAlignment="1">
      <alignment horizontal="left" vertical="center"/>
    </xf>
    <xf numFmtId="165" fontId="38" fillId="6" borderId="7" xfId="0" applyNumberFormat="1" applyFont="1" applyFill="1" applyBorder="1" applyAlignment="1">
      <alignment horizontal="right" vertical="center"/>
    </xf>
    <xf numFmtId="0" fontId="27" fillId="6" borderId="25" xfId="0" applyFont="1" applyFill="1" applyBorder="1" applyAlignment="1">
      <alignment vertical="center"/>
    </xf>
    <xf numFmtId="0" fontId="29" fillId="6" borderId="15" xfId="0" applyFont="1" applyFill="1" applyBorder="1" applyAlignment="1">
      <alignment vertical="center"/>
    </xf>
    <xf numFmtId="165" fontId="29" fillId="0" borderId="38" xfId="0" applyNumberFormat="1" applyFont="1" applyBorder="1" applyAlignment="1">
      <alignment horizontal="left" vertical="center"/>
    </xf>
    <xf numFmtId="0" fontId="29" fillId="0" borderId="4" xfId="0" applyFont="1" applyBorder="1" applyAlignment="1">
      <alignment horizontal="left" vertical="center" indent="1"/>
    </xf>
    <xf numFmtId="165" fontId="29" fillId="0" borderId="7" xfId="0" applyNumberFormat="1" applyFont="1" applyBorder="1" applyAlignment="1">
      <alignment horizontal="left" vertical="center"/>
    </xf>
    <xf numFmtId="0" fontId="29" fillId="0" borderId="25" xfId="0" applyFont="1" applyBorder="1" applyAlignment="1">
      <alignment horizontal="left" vertical="center" wrapText="1" indent="1"/>
    </xf>
    <xf numFmtId="0" fontId="62" fillId="0" borderId="15" xfId="0" applyFont="1" applyBorder="1" applyAlignment="1">
      <alignment horizontal="center" vertical="center"/>
    </xf>
    <xf numFmtId="165" fontId="29" fillId="0" borderId="14" xfId="0" applyNumberFormat="1" applyFont="1" applyBorder="1" applyAlignment="1">
      <alignment horizontal="left" vertical="center"/>
    </xf>
    <xf numFmtId="0" fontId="29" fillId="0" borderId="33" xfId="0" applyFont="1" applyBorder="1" applyAlignment="1">
      <alignment horizontal="left" vertical="center" wrapText="1" indent="1"/>
    </xf>
    <xf numFmtId="165" fontId="38" fillId="6" borderId="14" xfId="0" applyNumberFormat="1" applyFont="1" applyFill="1" applyBorder="1" applyAlignment="1">
      <alignment horizontal="right" vertical="top"/>
    </xf>
    <xf numFmtId="165" fontId="29" fillId="0" borderId="7" xfId="0" applyNumberFormat="1" applyFont="1" applyBorder="1" applyAlignment="1">
      <alignment horizontal="right" vertical="center" readingOrder="1"/>
    </xf>
    <xf numFmtId="0" fontId="29" fillId="0" borderId="25" xfId="0" applyFont="1" applyBorder="1" applyAlignment="1">
      <alignment horizontal="left" vertical="center" indent="1"/>
    </xf>
    <xf numFmtId="165" fontId="30" fillId="0" borderId="0" xfId="0" applyNumberFormat="1" applyFont="1" applyAlignment="1">
      <alignment horizontal="left" vertical="center"/>
    </xf>
    <xf numFmtId="0" fontId="65" fillId="0" borderId="0" xfId="0" applyFont="1" applyAlignment="1">
      <alignment horizontal="left" vertical="center" indent="1"/>
    </xf>
    <xf numFmtId="0" fontId="31" fillId="0" borderId="0" xfId="34" applyFont="1" applyAlignment="1">
      <alignment horizontal="right" vertical="top"/>
    </xf>
    <xf numFmtId="0" fontId="25" fillId="0" borderId="0" xfId="34" applyFont="1" applyAlignment="1">
      <alignment wrapText="1"/>
    </xf>
    <xf numFmtId="0" fontId="25" fillId="0" borderId="0" xfId="34" applyFont="1"/>
    <xf numFmtId="0" fontId="30" fillId="0" borderId="0" xfId="0" applyFont="1" applyAlignment="1">
      <alignment vertical="top"/>
    </xf>
    <xf numFmtId="0" fontId="31" fillId="0" borderId="0" xfId="0" applyFont="1" applyAlignment="1">
      <alignment horizontal="right" vertical="top"/>
    </xf>
    <xf numFmtId="0" fontId="25" fillId="0" borderId="0" xfId="0" applyFont="1" applyAlignment="1">
      <alignment horizontal="left" wrapText="1"/>
    </xf>
    <xf numFmtId="165" fontId="50" fillId="0" borderId="0" xfId="34" applyNumberFormat="1" applyFont="1" applyAlignment="1">
      <alignment horizontal="right" vertical="top"/>
    </xf>
    <xf numFmtId="0" fontId="25" fillId="0" borderId="0" xfId="0" applyFont="1" applyAlignment="1">
      <alignment horizontal="left"/>
    </xf>
    <xf numFmtId="165" fontId="50" fillId="0" borderId="0" xfId="34" applyNumberFormat="1" applyFont="1" applyAlignment="1">
      <alignment horizontal="right" vertical="center"/>
    </xf>
    <xf numFmtId="0" fontId="50" fillId="0" borderId="0" xfId="34" applyFont="1" applyAlignment="1">
      <alignment horizontal="right" vertical="top"/>
    </xf>
    <xf numFmtId="38" fontId="25" fillId="0" borderId="0" xfId="0" applyNumberFormat="1" applyFont="1"/>
    <xf numFmtId="0" fontId="50" fillId="0" borderId="0" xfId="34" applyFont="1" applyAlignment="1">
      <alignment horizontal="right" vertical="center"/>
    </xf>
    <xf numFmtId="0" fontId="25" fillId="0" borderId="0" xfId="34" applyFont="1" applyAlignment="1">
      <alignment horizontal="left" vertical="center" wrapText="1"/>
    </xf>
    <xf numFmtId="0" fontId="50" fillId="0" borderId="0" xfId="34" applyFont="1" applyAlignment="1">
      <alignment horizontal="right" vertical="top" shrinkToFit="1"/>
    </xf>
    <xf numFmtId="0" fontId="31" fillId="0" borderId="0" xfId="34" applyFont="1" applyAlignment="1">
      <alignment horizontal="right"/>
    </xf>
    <xf numFmtId="0" fontId="31" fillId="0" borderId="0" xfId="0" applyFont="1"/>
    <xf numFmtId="49" fontId="25" fillId="0" borderId="0" xfId="51" applyNumberFormat="1" applyFont="1" applyAlignment="1">
      <alignment horizontal="left" vertical="center"/>
    </xf>
    <xf numFmtId="49" fontId="31" fillId="0" borderId="0" xfId="51" applyNumberFormat="1" applyFont="1" applyAlignment="1">
      <alignment horizontal="right" vertical="top"/>
    </xf>
    <xf numFmtId="0" fontId="25" fillId="0" borderId="0" xfId="51" applyFont="1" applyAlignment="1">
      <alignment vertical="center" wrapText="1"/>
    </xf>
    <xf numFmtId="0" fontId="25" fillId="0" borderId="0" xfId="51" applyFont="1" applyAlignment="1">
      <alignment horizontal="left" vertical="center" wrapText="1"/>
    </xf>
    <xf numFmtId="49" fontId="31" fillId="0" borderId="0" xfId="51" applyNumberFormat="1" applyFont="1" applyAlignment="1">
      <alignment vertical="top"/>
    </xf>
    <xf numFmtId="0" fontId="25" fillId="0" borderId="0" xfId="51" applyFont="1" applyAlignment="1">
      <alignment vertical="center"/>
    </xf>
    <xf numFmtId="0" fontId="31" fillId="0" borderId="0" xfId="0" applyFont="1" applyAlignment="1">
      <alignment vertical="top"/>
    </xf>
    <xf numFmtId="0" fontId="25" fillId="0" borderId="0" xfId="0" applyFont="1" applyAlignment="1">
      <alignment wrapText="1"/>
    </xf>
    <xf numFmtId="0" fontId="31" fillId="0" borderId="0" xfId="36" applyFont="1" applyAlignment="1">
      <alignment horizontal="right" vertical="top"/>
    </xf>
    <xf numFmtId="0" fontId="25" fillId="0" borderId="0" xfId="36" applyFont="1" applyAlignment="1">
      <alignment vertical="center" wrapText="1"/>
    </xf>
    <xf numFmtId="0" fontId="31" fillId="0" borderId="0" xfId="36" applyFont="1" applyAlignment="1">
      <alignment vertical="center"/>
    </xf>
    <xf numFmtId="0" fontId="25" fillId="0" borderId="0" xfId="36" applyFont="1" applyAlignment="1">
      <alignment vertical="center"/>
    </xf>
    <xf numFmtId="0" fontId="25" fillId="0" borderId="0" xfId="0" applyFont="1" applyAlignment="1">
      <alignment horizontal="left" vertical="top" wrapText="1"/>
    </xf>
    <xf numFmtId="0" fontId="27" fillId="2" borderId="61" xfId="0" applyFont="1" applyFill="1" applyBorder="1" applyAlignment="1">
      <alignment horizontal="center" vertical="center"/>
    </xf>
    <xf numFmtId="0" fontId="29" fillId="0" borderId="0" xfId="0" applyFont="1" applyAlignment="1">
      <alignment vertical="center"/>
    </xf>
    <xf numFmtId="0" fontId="13" fillId="0" borderId="0" xfId="1" applyAlignment="1" applyProtection="1"/>
    <xf numFmtId="0" fontId="28" fillId="0" borderId="0" xfId="0" applyFont="1"/>
    <xf numFmtId="38" fontId="29" fillId="16" borderId="19" xfId="34" applyNumberFormat="1" applyFont="1" applyFill="1" applyBorder="1" applyAlignment="1">
      <alignment horizontal="right"/>
    </xf>
    <xf numFmtId="38" fontId="29" fillId="18" borderId="0" xfId="49" applyNumberFormat="1" applyFont="1" applyFill="1" applyAlignment="1">
      <alignment horizontal="right"/>
    </xf>
    <xf numFmtId="38" fontId="29" fillId="18" borderId="2" xfId="34" applyNumberFormat="1" applyFont="1" applyFill="1" applyBorder="1" applyAlignment="1">
      <alignment horizontal="right"/>
    </xf>
    <xf numFmtId="38" fontId="29" fillId="0" borderId="44" xfId="33" applyNumberFormat="1" applyFont="1" applyBorder="1" applyAlignment="1" applyProtection="1">
      <alignment horizontal="right"/>
      <protection locked="0"/>
    </xf>
    <xf numFmtId="38" fontId="29" fillId="3" borderId="13" xfId="7" applyNumberFormat="1" applyFont="1" applyFill="1" applyBorder="1" applyAlignment="1">
      <alignment horizontal="right"/>
    </xf>
    <xf numFmtId="38" fontId="29" fillId="20" borderId="38" xfId="47" applyNumberFormat="1" applyFont="1" applyFill="1" applyBorder="1" applyAlignment="1">
      <alignment horizontal="right"/>
    </xf>
    <xf numFmtId="38" fontId="29" fillId="20" borderId="4" xfId="47" applyNumberFormat="1" applyFont="1" applyFill="1" applyBorder="1" applyAlignment="1">
      <alignment horizontal="right"/>
    </xf>
    <xf numFmtId="38" fontId="29" fillId="20" borderId="36" xfId="47" applyNumberFormat="1" applyFont="1" applyFill="1" applyBorder="1" applyAlignment="1">
      <alignment horizontal="right"/>
    </xf>
    <xf numFmtId="38" fontId="29" fillId="3" borderId="3" xfId="15" applyNumberFormat="1" applyFont="1" applyFill="1" applyBorder="1" applyAlignment="1">
      <alignment horizontal="right"/>
    </xf>
    <xf numFmtId="38" fontId="29" fillId="3" borderId="35" xfId="36" applyNumberFormat="1" applyFont="1" applyFill="1" applyBorder="1" applyAlignment="1">
      <alignment horizontal="right"/>
    </xf>
    <xf numFmtId="38" fontId="29" fillId="19" borderId="19" xfId="41" applyNumberFormat="1" applyFont="1" applyFill="1" applyBorder="1" applyAlignment="1">
      <alignment horizontal="right"/>
    </xf>
    <xf numFmtId="38" fontId="29" fillId="19" borderId="2" xfId="41" applyNumberFormat="1" applyFont="1" applyFill="1" applyBorder="1" applyAlignment="1">
      <alignment horizontal="right"/>
    </xf>
    <xf numFmtId="38" fontId="29" fillId="16" borderId="23" xfId="34" applyNumberFormat="1" applyFont="1" applyFill="1" applyBorder="1" applyAlignment="1">
      <alignment horizontal="right"/>
    </xf>
    <xf numFmtId="38" fontId="29" fillId="16" borderId="20" xfId="34" applyNumberFormat="1" applyFont="1" applyFill="1" applyBorder="1" applyAlignment="1">
      <alignment horizontal="right"/>
    </xf>
    <xf numFmtId="38" fontId="29" fillId="4" borderId="20" xfId="34" applyNumberFormat="1" applyFont="1" applyFill="1" applyBorder="1" applyAlignment="1">
      <alignment horizontal="right"/>
    </xf>
    <xf numFmtId="38" fontId="29" fillId="19" borderId="19" xfId="34" applyNumberFormat="1" applyFont="1" applyFill="1" applyBorder="1" applyAlignment="1">
      <alignment horizontal="right"/>
    </xf>
    <xf numFmtId="38" fontId="29" fillId="4" borderId="16" xfId="33" applyNumberFormat="1" applyFont="1" applyFill="1" applyBorder="1" applyAlignment="1">
      <alignment horizontal="right"/>
    </xf>
    <xf numFmtId="38" fontId="29" fillId="3" borderId="8" xfId="47" applyNumberFormat="1" applyFont="1" applyFill="1" applyBorder="1" applyAlignment="1">
      <alignment horizontal="right"/>
    </xf>
    <xf numFmtId="38" fontId="29" fillId="4" borderId="37" xfId="47" applyNumberFormat="1" applyFont="1" applyFill="1" applyBorder="1" applyAlignment="1">
      <alignment horizontal="right"/>
    </xf>
    <xf numFmtId="38" fontId="29" fillId="4" borderId="16" xfId="47" applyNumberFormat="1" applyFont="1" applyFill="1" applyBorder="1" applyAlignment="1">
      <alignment horizontal="right"/>
    </xf>
    <xf numFmtId="0" fontId="27" fillId="0" borderId="33" xfId="0" applyFont="1" applyBorder="1" applyAlignment="1">
      <alignment horizontal="left" vertical="center"/>
    </xf>
    <xf numFmtId="0" fontId="27" fillId="0" borderId="28" xfId="34" applyFont="1" applyBorder="1" applyAlignment="1">
      <alignment vertical="center" wrapText="1"/>
    </xf>
    <xf numFmtId="38" fontId="29" fillId="21" borderId="23" xfId="33" applyNumberFormat="1" applyFont="1" applyFill="1" applyBorder="1" applyAlignment="1">
      <alignment horizontal="right"/>
    </xf>
    <xf numFmtId="38" fontId="29" fillId="21" borderId="23" xfId="34" applyNumberFormat="1" applyFont="1" applyFill="1" applyBorder="1" applyAlignment="1">
      <alignment horizontal="right"/>
    </xf>
    <xf numFmtId="38" fontId="29" fillId="0" borderId="7" xfId="7" applyNumberFormat="1" applyFont="1" applyBorder="1" applyAlignment="1" applyProtection="1">
      <alignment horizontal="right"/>
      <protection locked="0"/>
    </xf>
    <xf numFmtId="38" fontId="29" fillId="11" borderId="7" xfId="47" applyNumberFormat="1" applyFont="1" applyFill="1" applyBorder="1" applyAlignment="1">
      <alignment horizontal="right"/>
    </xf>
    <xf numFmtId="38" fontId="29" fillId="11" borderId="25" xfId="47" applyNumberFormat="1" applyFont="1" applyFill="1" applyBorder="1" applyAlignment="1">
      <alignment horizontal="right"/>
    </xf>
    <xf numFmtId="38" fontId="29" fillId="11" borderId="33" xfId="47" applyNumberFormat="1" applyFont="1" applyFill="1" applyBorder="1" applyAlignment="1">
      <alignment horizontal="right"/>
    </xf>
    <xf numFmtId="38" fontId="29" fillId="11" borderId="37" xfId="47" applyNumberFormat="1" applyFont="1" applyFill="1" applyBorder="1" applyAlignment="1">
      <alignment horizontal="right"/>
    </xf>
    <xf numFmtId="38" fontId="29" fillId="0" borderId="15" xfId="47" applyNumberFormat="1" applyFont="1" applyBorder="1" applyAlignment="1" applyProtection="1">
      <alignment horizontal="right"/>
      <protection locked="0"/>
    </xf>
    <xf numFmtId="38" fontId="29" fillId="4" borderId="15" xfId="47" applyNumberFormat="1" applyFont="1" applyFill="1" applyBorder="1" applyAlignment="1">
      <alignment horizontal="right"/>
    </xf>
    <xf numFmtId="38" fontId="29" fillId="4" borderId="19" xfId="47" applyNumberFormat="1" applyFont="1" applyFill="1" applyBorder="1" applyAlignment="1">
      <alignment horizontal="right"/>
    </xf>
    <xf numFmtId="38" fontId="29" fillId="3" borderId="3" xfId="47" applyNumberFormat="1" applyFont="1" applyFill="1" applyBorder="1" applyAlignment="1">
      <alignment horizontal="right"/>
    </xf>
    <xf numFmtId="38" fontId="29" fillId="5" borderId="20" xfId="47" applyNumberFormat="1" applyFont="1" applyFill="1" applyBorder="1" applyAlignment="1" applyProtection="1">
      <alignment horizontal="right"/>
      <protection locked="0"/>
    </xf>
    <xf numFmtId="38" fontId="12" fillId="0" borderId="0" xfId="0" applyNumberFormat="1" applyFont="1"/>
    <xf numFmtId="165" fontId="38" fillId="6" borderId="14" xfId="0" applyNumberFormat="1" applyFont="1" applyFill="1" applyBorder="1" applyAlignment="1">
      <alignment horizontal="right" vertical="center"/>
    </xf>
    <xf numFmtId="38" fontId="29" fillId="19" borderId="15" xfId="33" applyNumberFormat="1" applyFont="1" applyFill="1" applyBorder="1" applyAlignment="1">
      <alignment horizontal="right"/>
    </xf>
    <xf numFmtId="0" fontId="77" fillId="0" borderId="0" xfId="0" applyFont="1"/>
    <xf numFmtId="0" fontId="76" fillId="0" borderId="0" xfId="0" applyFont="1" applyAlignment="1">
      <alignment horizontal="left" vertical="center"/>
    </xf>
    <xf numFmtId="0" fontId="78" fillId="0" borderId="0" xfId="0" applyFont="1" applyAlignment="1">
      <alignment horizontal="left" indent="1"/>
    </xf>
    <xf numFmtId="49" fontId="0" fillId="0" borderId="0" xfId="0" applyNumberFormat="1"/>
    <xf numFmtId="0" fontId="79" fillId="0" borderId="64" xfId="0" applyFont="1" applyBorder="1" applyAlignment="1">
      <alignment horizontal="left" vertical="center" indent="1"/>
    </xf>
    <xf numFmtId="0" fontId="78" fillId="0" borderId="0" xfId="0" applyFont="1" applyAlignment="1">
      <alignment vertical="center"/>
    </xf>
    <xf numFmtId="0" fontId="77" fillId="0" borderId="0" xfId="0" applyFont="1" applyAlignment="1">
      <alignment vertical="center"/>
    </xf>
    <xf numFmtId="0" fontId="62" fillId="0" borderId="15" xfId="0" applyFont="1" applyBorder="1" applyAlignment="1">
      <alignment horizontal="center" vertical="center" wrapText="1"/>
    </xf>
    <xf numFmtId="38" fontId="29" fillId="4" borderId="23" xfId="29" applyNumberFormat="1" applyFont="1" applyFill="1" applyBorder="1" applyAlignment="1">
      <alignment horizontal="right"/>
    </xf>
    <xf numFmtId="38" fontId="29" fillId="0" borderId="3" xfId="24" applyNumberFormat="1" applyFont="1" applyBorder="1" applyAlignment="1" applyProtection="1">
      <alignment horizontal="right"/>
      <protection locked="0"/>
    </xf>
    <xf numFmtId="38" fontId="29" fillId="0" borderId="20" xfId="29" applyNumberFormat="1" applyFont="1" applyBorder="1" applyAlignment="1" applyProtection="1">
      <alignment horizontal="right"/>
      <protection locked="0"/>
    </xf>
    <xf numFmtId="49" fontId="25" fillId="0" borderId="0" xfId="0" applyNumberFormat="1" applyFont="1"/>
    <xf numFmtId="0" fontId="80" fillId="0" borderId="0" xfId="0" applyFont="1" applyAlignment="1">
      <alignment horizontal="center"/>
    </xf>
    <xf numFmtId="0" fontId="82" fillId="0" borderId="0" xfId="0" applyFont="1"/>
    <xf numFmtId="0" fontId="81" fillId="0" borderId="0" xfId="0" applyFont="1" applyAlignment="1">
      <alignment horizontal="center"/>
    </xf>
    <xf numFmtId="49" fontId="39" fillId="0" borderId="0" xfId="0" applyNumberFormat="1" applyFont="1" applyAlignment="1">
      <alignment vertical="center"/>
    </xf>
    <xf numFmtId="0" fontId="37" fillId="0" borderId="0" xfId="0" applyFont="1" applyAlignment="1">
      <alignment vertical="center"/>
    </xf>
    <xf numFmtId="38" fontId="44" fillId="0" borderId="0" xfId="0" applyNumberFormat="1" applyFont="1" applyAlignment="1">
      <alignment horizontal="center" vertical="center" wrapText="1"/>
    </xf>
    <xf numFmtId="38" fontId="29" fillId="4" borderId="2" xfId="42" applyNumberFormat="1" applyFont="1" applyFill="1" applyBorder="1" applyAlignment="1">
      <alignment horizontal="right"/>
    </xf>
    <xf numFmtId="0" fontId="83" fillId="0" borderId="0" xfId="0" applyFont="1"/>
    <xf numFmtId="38" fontId="29" fillId="10" borderId="4" xfId="34" applyNumberFormat="1" applyFont="1" applyFill="1" applyBorder="1" applyAlignment="1">
      <alignment horizontal="right"/>
    </xf>
    <xf numFmtId="38" fontId="29" fillId="10" borderId="36" xfId="34" applyNumberFormat="1" applyFont="1" applyFill="1" applyBorder="1" applyAlignment="1">
      <alignment horizontal="right"/>
    </xf>
    <xf numFmtId="38" fontId="29" fillId="3" borderId="15" xfId="36" applyNumberFormat="1" applyFont="1" applyFill="1" applyBorder="1" applyAlignment="1">
      <alignment horizontal="right"/>
    </xf>
    <xf numFmtId="38" fontId="29" fillId="3" borderId="25" xfId="36" applyNumberFormat="1" applyFont="1" applyFill="1" applyBorder="1" applyAlignment="1">
      <alignment horizontal="right"/>
    </xf>
    <xf numFmtId="38" fontId="29" fillId="3" borderId="10" xfId="30" applyNumberFormat="1" applyFont="1" applyFill="1" applyBorder="1" applyAlignment="1">
      <alignment horizontal="right"/>
    </xf>
    <xf numFmtId="38" fontId="29" fillId="0" borderId="9" xfId="29" applyNumberFormat="1" applyFont="1" applyBorder="1" applyAlignment="1" applyProtection="1">
      <alignment horizontal="right"/>
      <protection locked="0"/>
    </xf>
    <xf numFmtId="0" fontId="43" fillId="0" borderId="0" xfId="0" applyFont="1" applyAlignment="1">
      <alignment horizontal="left"/>
    </xf>
    <xf numFmtId="0" fontId="12" fillId="0" borderId="0" xfId="0" applyFont="1" applyAlignment="1">
      <alignment horizontal="left"/>
    </xf>
    <xf numFmtId="172" fontId="12" fillId="0" borderId="0" xfId="0" applyNumberFormat="1" applyFont="1"/>
    <xf numFmtId="38" fontId="44" fillId="0" borderId="0" xfId="0" applyNumberFormat="1" applyFont="1" applyAlignment="1">
      <alignment horizontal="left" vertical="center"/>
    </xf>
    <xf numFmtId="0" fontId="44" fillId="0" borderId="0" xfId="0" applyFont="1" applyAlignment="1">
      <alignment horizontal="left" vertical="center"/>
    </xf>
    <xf numFmtId="0" fontId="45" fillId="0" borderId="0" xfId="0" applyFont="1"/>
    <xf numFmtId="0" fontId="54" fillId="0" borderId="0" xfId="0" applyFont="1"/>
    <xf numFmtId="49" fontId="25" fillId="0" borderId="0" xfId="0" applyNumberFormat="1" applyFont="1" applyAlignment="1">
      <alignment horizontal="left"/>
    </xf>
    <xf numFmtId="0" fontId="87" fillId="0" borderId="3" xfId="0" applyFont="1" applyBorder="1" applyAlignment="1">
      <alignment horizontal="center" vertical="center" wrapText="1"/>
    </xf>
    <xf numFmtId="165" fontId="29" fillId="2" borderId="24" xfId="0" applyNumberFormat="1" applyFont="1" applyFill="1" applyBorder="1" applyAlignment="1">
      <alignment horizontal="left" vertical="center"/>
    </xf>
    <xf numFmtId="0" fontId="27" fillId="2" borderId="10" xfId="0" applyFont="1" applyFill="1" applyBorder="1" applyAlignment="1">
      <alignment horizontal="center" vertical="center"/>
    </xf>
    <xf numFmtId="49" fontId="27" fillId="10" borderId="7" xfId="49" applyNumberFormat="1" applyFont="1" applyFill="1" applyBorder="1" applyAlignment="1">
      <alignment horizontal="left" vertical="center"/>
    </xf>
    <xf numFmtId="0" fontId="29" fillId="10" borderId="25" xfId="33" applyFont="1" applyFill="1" applyBorder="1" applyAlignment="1">
      <alignment vertical="top"/>
    </xf>
    <xf numFmtId="0" fontId="26" fillId="0" borderId="0" xfId="33" applyFont="1" applyAlignment="1">
      <alignment vertical="top"/>
    </xf>
    <xf numFmtId="49" fontId="28" fillId="17" borderId="28" xfId="49" applyNumberFormat="1" applyFont="1" applyFill="1" applyBorder="1" applyAlignment="1">
      <alignment horizontal="left" vertical="center" indent="2"/>
    </xf>
    <xf numFmtId="0" fontId="25" fillId="17" borderId="19" xfId="34" applyFont="1" applyFill="1" applyBorder="1" applyAlignment="1">
      <alignment horizontal="center" vertical="top"/>
    </xf>
    <xf numFmtId="0" fontId="26" fillId="0" borderId="0" xfId="34" applyFont="1" applyAlignment="1">
      <alignment vertical="top" wrapText="1"/>
    </xf>
    <xf numFmtId="49" fontId="27" fillId="10" borderId="21" xfId="49" applyNumberFormat="1" applyFont="1" applyFill="1" applyBorder="1" applyAlignment="1">
      <alignment horizontal="left" vertical="center"/>
    </xf>
    <xf numFmtId="49" fontId="29" fillId="10" borderId="55" xfId="49" applyNumberFormat="1" applyFont="1" applyFill="1" applyBorder="1" applyAlignment="1">
      <alignment horizontal="center" vertical="center"/>
    </xf>
    <xf numFmtId="0" fontId="26" fillId="0" borderId="0" xfId="34" applyFont="1"/>
    <xf numFmtId="0" fontId="25" fillId="17" borderId="19" xfId="49" applyFont="1" applyFill="1" applyBorder="1"/>
    <xf numFmtId="49" fontId="28" fillId="0" borderId="22" xfId="49" applyNumberFormat="1" applyFont="1" applyBorder="1" applyAlignment="1">
      <alignment horizontal="left" vertical="center" wrapText="1" indent="2"/>
    </xf>
    <xf numFmtId="0" fontId="30" fillId="0" borderId="11" xfId="0" applyFont="1" applyBorder="1"/>
    <xf numFmtId="0" fontId="28" fillId="4" borderId="24" xfId="34" applyFont="1" applyFill="1" applyBorder="1" applyAlignment="1">
      <alignment horizontal="left" vertical="center" wrapText="1"/>
    </xf>
    <xf numFmtId="0" fontId="25" fillId="4" borderId="51" xfId="0" applyFont="1" applyFill="1" applyBorder="1" applyAlignment="1">
      <alignment horizontal="left" vertical="top"/>
    </xf>
    <xf numFmtId="0" fontId="28" fillId="18" borderId="12" xfId="34" applyFont="1" applyFill="1" applyBorder="1" applyAlignment="1">
      <alignment horizontal="left" vertical="top" wrapText="1"/>
    </xf>
    <xf numFmtId="0" fontId="25" fillId="18" borderId="13" xfId="0" applyFont="1" applyFill="1" applyBorder="1" applyAlignment="1">
      <alignment horizontal="left" vertical="top"/>
    </xf>
    <xf numFmtId="38" fontId="29" fillId="18" borderId="8" xfId="0" applyNumberFormat="1" applyFont="1" applyFill="1" applyBorder="1" applyAlignment="1">
      <alignment horizontal="right"/>
    </xf>
    <xf numFmtId="0" fontId="27" fillId="19" borderId="38" xfId="33" applyFont="1" applyFill="1" applyBorder="1" applyAlignment="1">
      <alignment horizontal="left" vertical="center" wrapText="1"/>
    </xf>
    <xf numFmtId="0" fontId="30" fillId="19" borderId="36" xfId="0" applyFont="1" applyFill="1" applyBorder="1" applyAlignment="1">
      <alignment vertical="center"/>
    </xf>
    <xf numFmtId="38" fontId="29" fillId="19" borderId="2" xfId="33" applyNumberFormat="1" applyFont="1" applyFill="1" applyBorder="1" applyAlignment="1">
      <alignment horizontal="right"/>
    </xf>
    <xf numFmtId="0" fontId="26" fillId="0" borderId="0" xfId="33" applyFont="1"/>
    <xf numFmtId="49" fontId="27" fillId="7" borderId="7" xfId="0" applyNumberFormat="1" applyFont="1" applyFill="1" applyBorder="1" applyAlignment="1">
      <alignment horizontal="left" vertical="center"/>
    </xf>
    <xf numFmtId="0" fontId="27" fillId="7" borderId="15" xfId="33" applyFont="1" applyFill="1" applyBorder="1" applyAlignment="1">
      <alignment horizontal="center"/>
    </xf>
    <xf numFmtId="49" fontId="27" fillId="7" borderId="7" xfId="49" applyNumberFormat="1" applyFont="1" applyFill="1" applyBorder="1" applyAlignment="1">
      <alignment horizontal="left" vertical="center" wrapText="1"/>
    </xf>
    <xf numFmtId="0" fontId="27" fillId="7" borderId="15" xfId="33" applyFont="1" applyFill="1" applyBorder="1" applyAlignment="1">
      <alignment horizontal="center" vertical="top"/>
    </xf>
    <xf numFmtId="49" fontId="27" fillId="7" borderId="7" xfId="49" applyNumberFormat="1" applyFont="1" applyFill="1" applyBorder="1" applyAlignment="1">
      <alignment horizontal="left" vertical="center"/>
    </xf>
    <xf numFmtId="0" fontId="27" fillId="7" borderId="15" xfId="34" applyFont="1" applyFill="1" applyBorder="1" applyAlignment="1">
      <alignment horizontal="center" vertical="top"/>
    </xf>
    <xf numFmtId="49" fontId="28" fillId="4" borderId="28" xfId="49" applyNumberFormat="1" applyFont="1" applyFill="1" applyBorder="1" applyAlignment="1">
      <alignment horizontal="left" vertical="center" indent="2"/>
    </xf>
    <xf numFmtId="0" fontId="25" fillId="4" borderId="39" xfId="34" applyFont="1" applyFill="1" applyBorder="1" applyAlignment="1">
      <alignment horizontal="center" vertical="top"/>
    </xf>
    <xf numFmtId="49" fontId="25" fillId="0" borderId="14" xfId="49" applyNumberFormat="1" applyFont="1" applyBorder="1" applyAlignment="1">
      <alignment horizontal="left" vertical="center" indent="2"/>
    </xf>
    <xf numFmtId="0" fontId="25" fillId="0" borderId="3" xfId="34" applyFont="1" applyBorder="1" applyAlignment="1">
      <alignment horizontal="center" vertical="center"/>
    </xf>
    <xf numFmtId="38" fontId="29" fillId="19" borderId="10" xfId="34" applyNumberFormat="1" applyFont="1" applyFill="1" applyBorder="1" applyAlignment="1">
      <alignment horizontal="right"/>
    </xf>
    <xf numFmtId="0" fontId="25" fillId="4" borderId="39" xfId="34" applyFont="1" applyFill="1" applyBorder="1" applyAlignment="1">
      <alignment horizontal="left" vertical="center"/>
    </xf>
    <xf numFmtId="0" fontId="27" fillId="7" borderId="14" xfId="0" applyFont="1" applyFill="1" applyBorder="1" applyAlignment="1">
      <alignment horizontal="left" vertical="center"/>
    </xf>
    <xf numFmtId="49" fontId="27" fillId="7" borderId="3" xfId="0" applyNumberFormat="1" applyFont="1" applyFill="1" applyBorder="1" applyAlignment="1">
      <alignment horizontal="center" vertical="center"/>
    </xf>
    <xf numFmtId="49" fontId="27" fillId="7" borderId="15" xfId="49" applyNumberFormat="1" applyFont="1" applyFill="1" applyBorder="1" applyAlignment="1">
      <alignment horizontal="center" vertical="center"/>
    </xf>
    <xf numFmtId="0" fontId="27" fillId="7" borderId="15" xfId="0" applyFont="1" applyFill="1" applyBorder="1" applyAlignment="1">
      <alignment horizontal="center" vertical="center"/>
    </xf>
    <xf numFmtId="0" fontId="25" fillId="4" borderId="39" xfId="49" applyFont="1" applyFill="1" applyBorder="1"/>
    <xf numFmtId="49" fontId="25" fillId="0" borderId="14" xfId="49" applyNumberFormat="1" applyFont="1" applyBorder="1" applyAlignment="1">
      <alignment horizontal="left" vertical="top" wrapText="1" indent="2"/>
    </xf>
    <xf numFmtId="0" fontId="25" fillId="0" borderId="3" xfId="0" applyFont="1" applyBorder="1" applyAlignment="1">
      <alignment horizontal="center"/>
    </xf>
    <xf numFmtId="0" fontId="25" fillId="4" borderId="39" xfId="0" applyFont="1" applyFill="1" applyBorder="1" applyAlignment="1">
      <alignment horizontal="left"/>
    </xf>
    <xf numFmtId="0" fontId="27" fillId="10" borderId="7" xfId="34" applyFont="1" applyFill="1" applyBorder="1" applyAlignment="1">
      <alignment horizontal="left" vertical="center"/>
    </xf>
    <xf numFmtId="0" fontId="29" fillId="10" borderId="25" xfId="34" applyFont="1" applyFill="1" applyBorder="1" applyAlignment="1">
      <alignment horizontal="center" vertical="center"/>
    </xf>
    <xf numFmtId="0" fontId="30" fillId="0" borderId="0" xfId="34" applyFont="1"/>
    <xf numFmtId="0" fontId="27" fillId="7" borderId="14" xfId="51" applyFont="1" applyFill="1" applyBorder="1" applyAlignment="1">
      <alignment horizontal="left" vertical="center"/>
    </xf>
    <xf numFmtId="49" fontId="27" fillId="7" borderId="37" xfId="49" applyNumberFormat="1" applyFont="1" applyFill="1" applyBorder="1" applyAlignment="1">
      <alignment horizontal="center" vertical="center"/>
    </xf>
    <xf numFmtId="0" fontId="28" fillId="4" borderId="28" xfId="0" applyFont="1" applyFill="1" applyBorder="1" applyAlignment="1">
      <alignment horizontal="left" vertical="top" wrapText="1" indent="2"/>
    </xf>
    <xf numFmtId="0" fontId="30" fillId="4" borderId="39" xfId="0" applyFont="1" applyFill="1" applyBorder="1" applyAlignment="1">
      <alignment horizontal="center"/>
    </xf>
    <xf numFmtId="165" fontId="27" fillId="7" borderId="14" xfId="0" applyNumberFormat="1" applyFont="1" applyFill="1" applyBorder="1" applyAlignment="1">
      <alignment horizontal="left" vertical="center"/>
    </xf>
    <xf numFmtId="49" fontId="27" fillId="7" borderId="37" xfId="0" applyNumberFormat="1" applyFont="1" applyFill="1" applyBorder="1" applyAlignment="1">
      <alignment horizontal="center" vertical="center"/>
    </xf>
    <xf numFmtId="165" fontId="28" fillId="0" borderId="14" xfId="0" applyNumberFormat="1" applyFont="1" applyBorder="1" applyAlignment="1">
      <alignment horizontal="left" vertical="center"/>
    </xf>
    <xf numFmtId="49" fontId="27" fillId="0" borderId="37" xfId="0" applyNumberFormat="1" applyFont="1" applyBorder="1" applyAlignment="1">
      <alignment horizontal="left" vertical="center"/>
    </xf>
    <xf numFmtId="49" fontId="28" fillId="4" borderId="28" xfId="36" applyNumberFormat="1" applyFont="1" applyFill="1" applyBorder="1" applyAlignment="1">
      <alignment horizontal="left" vertical="center" wrapText="1" indent="2"/>
    </xf>
    <xf numFmtId="0" fontId="30" fillId="4" borderId="39" xfId="0" applyFont="1" applyFill="1" applyBorder="1" applyAlignment="1">
      <alignment horizontal="left" vertical="center"/>
    </xf>
    <xf numFmtId="0" fontId="28" fillId="4" borderId="24" xfId="0" applyFont="1" applyFill="1" applyBorder="1" applyAlignment="1">
      <alignment horizontal="left" vertical="center" indent="2"/>
    </xf>
    <xf numFmtId="0" fontId="30" fillId="4" borderId="51" xfId="0" applyFont="1" applyFill="1" applyBorder="1" applyAlignment="1">
      <alignment horizontal="left" vertical="center"/>
    </xf>
    <xf numFmtId="0" fontId="28" fillId="4" borderId="22" xfId="34" applyFont="1" applyFill="1" applyBorder="1" applyAlignment="1">
      <alignment horizontal="left" vertical="top" wrapText="1"/>
    </xf>
    <xf numFmtId="0" fontId="25" fillId="4" borderId="11" xfId="0" applyFont="1" applyFill="1" applyBorder="1" applyAlignment="1">
      <alignment horizontal="left" vertical="top"/>
    </xf>
    <xf numFmtId="38" fontId="29" fillId="4" borderId="8" xfId="0" applyNumberFormat="1" applyFont="1" applyFill="1" applyBorder="1" applyAlignment="1">
      <alignment horizontal="right"/>
    </xf>
    <xf numFmtId="0" fontId="27" fillId="18" borderId="0" xfId="51" applyFont="1" applyFill="1" applyAlignment="1">
      <alignment horizontal="left" vertical="center"/>
    </xf>
    <xf numFmtId="49" fontId="27" fillId="18" borderId="0" xfId="49" applyNumberFormat="1" applyFont="1" applyFill="1" applyAlignment="1">
      <alignment horizontal="center" vertical="center"/>
    </xf>
    <xf numFmtId="0" fontId="26" fillId="18" borderId="0" xfId="34" applyFont="1" applyFill="1"/>
    <xf numFmtId="0" fontId="29" fillId="0" borderId="0" xfId="0" applyFont="1" applyAlignment="1">
      <alignment horizontal="centerContinuous" vertical="center"/>
    </xf>
    <xf numFmtId="3" fontId="26" fillId="0" borderId="0" xfId="34" applyNumberFormat="1" applyFont="1"/>
    <xf numFmtId="0" fontId="27" fillId="0" borderId="43" xfId="0" applyFont="1" applyBorder="1" applyAlignment="1">
      <alignment horizontal="center" vertical="center"/>
    </xf>
    <xf numFmtId="0" fontId="38" fillId="0" borderId="58" xfId="0" applyFont="1" applyBorder="1" applyAlignment="1">
      <alignment horizontal="center" vertical="top" wrapText="1"/>
    </xf>
    <xf numFmtId="49" fontId="27" fillId="10" borderId="14" xfId="0" applyNumberFormat="1" applyFont="1" applyFill="1" applyBorder="1" applyAlignment="1">
      <alignment horizontal="left" vertical="center"/>
    </xf>
    <xf numFmtId="49" fontId="38" fillId="10" borderId="59" xfId="0" applyNumberFormat="1" applyFont="1" applyFill="1" applyBorder="1" applyAlignment="1">
      <alignment horizontal="center" vertical="center"/>
    </xf>
    <xf numFmtId="49" fontId="30" fillId="3" borderId="3" xfId="0" applyNumberFormat="1" applyFont="1" applyFill="1" applyBorder="1"/>
    <xf numFmtId="49" fontId="30" fillId="3" borderId="8" xfId="0" applyNumberFormat="1" applyFont="1" applyFill="1" applyBorder="1"/>
    <xf numFmtId="0" fontId="25" fillId="4" borderId="15" xfId="0" applyFont="1" applyFill="1" applyBorder="1" applyAlignment="1">
      <alignment horizontal="left" vertical="center" indent="1"/>
    </xf>
    <xf numFmtId="0" fontId="25" fillId="4" borderId="15" xfId="0" applyFont="1" applyFill="1" applyBorder="1" applyAlignment="1">
      <alignment horizontal="center" vertical="center"/>
    </xf>
    <xf numFmtId="0" fontId="29" fillId="3" borderId="8" xfId="0" applyFont="1" applyFill="1" applyBorder="1" applyAlignment="1">
      <alignment vertical="center"/>
    </xf>
    <xf numFmtId="0" fontId="29" fillId="3" borderId="3" xfId="0" applyFont="1" applyFill="1" applyBorder="1" applyAlignment="1">
      <alignment vertical="center"/>
    </xf>
    <xf numFmtId="38" fontId="25" fillId="4" borderId="15" xfId="34" applyNumberFormat="1" applyFont="1" applyFill="1" applyBorder="1" applyAlignment="1">
      <alignment vertical="center"/>
    </xf>
    <xf numFmtId="0" fontId="29" fillId="3" borderId="2" xfId="0" applyFont="1" applyFill="1" applyBorder="1" applyAlignment="1">
      <alignment vertical="center"/>
    </xf>
    <xf numFmtId="38" fontId="29" fillId="3" borderId="2" xfId="0" applyNumberFormat="1" applyFont="1" applyFill="1" applyBorder="1" applyAlignment="1">
      <alignment vertical="center"/>
    </xf>
    <xf numFmtId="38" fontId="29" fillId="3" borderId="15" xfId="0" applyNumberFormat="1" applyFont="1" applyFill="1" applyBorder="1" applyAlignment="1">
      <alignment vertical="center"/>
    </xf>
    <xf numFmtId="0" fontId="28" fillId="4" borderId="28" xfId="0" applyFont="1" applyFill="1" applyBorder="1" applyAlignment="1">
      <alignment horizontal="left" vertical="center" indent="2"/>
    </xf>
    <xf numFmtId="0" fontId="25" fillId="4" borderId="39" xfId="0" applyFont="1" applyFill="1" applyBorder="1" applyAlignment="1">
      <alignment horizontal="center" vertical="center"/>
    </xf>
    <xf numFmtId="0" fontId="29" fillId="3" borderId="23" xfId="0" applyFont="1" applyFill="1" applyBorder="1" applyAlignment="1">
      <alignment vertical="center"/>
    </xf>
    <xf numFmtId="38" fontId="25" fillId="4" borderId="19" xfId="34" applyNumberFormat="1" applyFont="1" applyFill="1" applyBorder="1" applyAlignment="1">
      <alignment vertical="center"/>
    </xf>
    <xf numFmtId="0" fontId="27" fillId="0" borderId="38" xfId="33" applyFont="1" applyBorder="1" applyAlignment="1">
      <alignment horizontal="left" vertical="center" wrapText="1"/>
    </xf>
    <xf numFmtId="0" fontId="30" fillId="0" borderId="36" xfId="0" applyFont="1" applyBorder="1" applyAlignment="1">
      <alignment vertical="center"/>
    </xf>
    <xf numFmtId="0" fontId="28" fillId="4" borderId="24" xfId="34" applyFont="1" applyFill="1" applyBorder="1" applyAlignment="1">
      <alignment horizontal="left" vertical="top" wrapText="1"/>
    </xf>
    <xf numFmtId="49" fontId="25" fillId="0" borderId="15" xfId="0" applyNumberFormat="1" applyFont="1" applyBorder="1" applyAlignment="1">
      <alignment horizontal="center" vertical="top"/>
    </xf>
    <xf numFmtId="49" fontId="25" fillId="0" borderId="15" xfId="0" applyNumberFormat="1" applyFont="1" applyBorder="1" applyAlignment="1">
      <alignment horizontal="left" vertical="top" wrapText="1" indent="1"/>
    </xf>
    <xf numFmtId="49" fontId="25" fillId="0" borderId="15" xfId="0" applyNumberFormat="1" applyFont="1" applyBorder="1" applyAlignment="1">
      <alignment horizontal="left" vertical="center" indent="1"/>
    </xf>
    <xf numFmtId="49" fontId="25" fillId="0" borderId="15" xfId="0" applyNumberFormat="1" applyFont="1" applyBorder="1" applyAlignment="1">
      <alignment horizontal="center" vertical="center"/>
    </xf>
    <xf numFmtId="49" fontId="25" fillId="0" borderId="15" xfId="0" applyNumberFormat="1" applyFont="1" applyBorder="1" applyAlignment="1">
      <alignment horizontal="center"/>
    </xf>
    <xf numFmtId="165" fontId="27" fillId="3" borderId="7" xfId="0" applyNumberFormat="1" applyFont="1" applyFill="1" applyBorder="1" applyAlignment="1">
      <alignment horizontal="left" vertical="center"/>
    </xf>
    <xf numFmtId="49" fontId="28" fillId="3" borderId="16" xfId="0" applyNumberFormat="1" applyFont="1" applyFill="1" applyBorder="1" applyAlignment="1">
      <alignment horizontal="center" vertical="center"/>
    </xf>
    <xf numFmtId="0" fontId="25" fillId="0" borderId="7" xfId="33" applyFont="1" applyBorder="1" applyAlignment="1">
      <alignment horizontal="left" vertical="center" indent="1"/>
    </xf>
    <xf numFmtId="0" fontId="25" fillId="0" borderId="7" xfId="33" applyFont="1" applyBorder="1" applyAlignment="1">
      <alignment horizontal="left" vertical="center" wrapText="1" indent="1"/>
    </xf>
    <xf numFmtId="0" fontId="25" fillId="0" borderId="15" xfId="50" applyFont="1" applyBorder="1" applyAlignment="1">
      <alignment horizontal="center" vertical="center"/>
    </xf>
    <xf numFmtId="49" fontId="25" fillId="0" borderId="7" xfId="50" applyNumberFormat="1" applyFont="1" applyBorder="1" applyAlignment="1">
      <alignment horizontal="left" vertical="center" wrapText="1" indent="1"/>
    </xf>
    <xf numFmtId="0" fontId="25" fillId="0" borderId="15" xfId="50" applyFont="1" applyBorder="1" applyAlignment="1">
      <alignment horizontal="center" vertical="top"/>
    </xf>
    <xf numFmtId="49" fontId="25" fillId="0" borderId="15" xfId="50" applyNumberFormat="1" applyFont="1" applyBorder="1" applyAlignment="1">
      <alignment horizontal="center" vertical="center"/>
    </xf>
    <xf numFmtId="49" fontId="25" fillId="0" borderId="7" xfId="49" applyNumberFormat="1" applyFont="1" applyBorder="1" applyAlignment="1">
      <alignment horizontal="left" vertical="center" wrapText="1" indent="1"/>
    </xf>
    <xf numFmtId="49" fontId="25" fillId="0" borderId="15" xfId="49" applyNumberFormat="1" applyFont="1" applyBorder="1" applyAlignment="1">
      <alignment horizontal="center" vertical="top"/>
    </xf>
    <xf numFmtId="0" fontId="25" fillId="0" borderId="15" xfId="0" applyFont="1" applyBorder="1" applyAlignment="1">
      <alignment horizontal="center" vertical="center"/>
    </xf>
    <xf numFmtId="0" fontId="28" fillId="3" borderId="7" xfId="50" applyFont="1" applyFill="1" applyBorder="1" applyAlignment="1">
      <alignment vertical="center"/>
    </xf>
    <xf numFmtId="0" fontId="25" fillId="3" borderId="16" xfId="50" applyFont="1" applyFill="1" applyBorder="1" applyAlignment="1">
      <alignment horizontal="center" vertical="center"/>
    </xf>
    <xf numFmtId="49" fontId="25" fillId="0" borderId="15" xfId="49" applyNumberFormat="1" applyFont="1" applyBorder="1" applyAlignment="1">
      <alignment horizontal="center" vertical="center"/>
    </xf>
    <xf numFmtId="165" fontId="27" fillId="3" borderId="7" xfId="49" applyNumberFormat="1" applyFont="1" applyFill="1" applyBorder="1" applyAlignment="1">
      <alignment horizontal="left" vertical="center"/>
    </xf>
    <xf numFmtId="49" fontId="27" fillId="3" borderId="16" xfId="49" applyNumberFormat="1" applyFont="1" applyFill="1" applyBorder="1" applyAlignment="1">
      <alignment horizontal="center" vertical="center"/>
    </xf>
    <xf numFmtId="0" fontId="27" fillId="0" borderId="36" xfId="0" applyFont="1" applyBorder="1" applyAlignment="1">
      <alignment horizontal="left" vertical="top"/>
    </xf>
    <xf numFmtId="0" fontId="48" fillId="0" borderId="15" xfId="34" applyFont="1" applyBorder="1" applyAlignment="1">
      <alignment horizontal="center"/>
    </xf>
    <xf numFmtId="0" fontId="27" fillId="0" borderId="2" xfId="34" applyFont="1" applyBorder="1"/>
    <xf numFmtId="170" fontId="27" fillId="0" borderId="2" xfId="34" applyNumberFormat="1" applyFont="1" applyBorder="1" applyAlignment="1">
      <alignment horizontal="center" vertical="center"/>
    </xf>
    <xf numFmtId="1" fontId="27" fillId="0" borderId="2" xfId="34" applyNumberFormat="1" applyFont="1" applyBorder="1" applyAlignment="1">
      <alignment horizontal="center" vertical="center"/>
    </xf>
    <xf numFmtId="0" fontId="27" fillId="0" borderId="3" xfId="51" applyFont="1" applyBorder="1" applyAlignment="1">
      <alignment horizontal="center" vertical="top" wrapText="1"/>
    </xf>
    <xf numFmtId="170" fontId="27" fillId="0" borderId="3" xfId="51" applyNumberFormat="1" applyFont="1" applyBorder="1" applyAlignment="1">
      <alignment horizontal="center" vertical="top" wrapText="1"/>
    </xf>
    <xf numFmtId="1" fontId="27" fillId="0" borderId="3" xfId="51" applyNumberFormat="1" applyFont="1" applyBorder="1" applyAlignment="1">
      <alignment horizontal="center" vertical="top" wrapText="1"/>
    </xf>
    <xf numFmtId="1" fontId="27" fillId="0" borderId="3" xfId="2" applyNumberFormat="1" applyFont="1" applyBorder="1" applyAlignment="1">
      <alignment horizontal="center" vertical="top" wrapText="1"/>
    </xf>
    <xf numFmtId="38" fontId="29" fillId="0" borderId="20" xfId="34" applyNumberFormat="1" applyFont="1" applyBorder="1" applyAlignment="1" applyProtection="1">
      <alignment horizontal="right"/>
      <protection locked="0"/>
    </xf>
    <xf numFmtId="0" fontId="25" fillId="0" borderId="0" xfId="0" applyFont="1" applyProtection="1">
      <protection locked="0"/>
    </xf>
    <xf numFmtId="165" fontId="25" fillId="0" borderId="0" xfId="0" applyNumberFormat="1" applyFont="1" applyProtection="1">
      <protection locked="0"/>
    </xf>
    <xf numFmtId="0" fontId="43" fillId="0" borderId="86" xfId="0" applyFont="1" applyBorder="1" applyAlignment="1" applyProtection="1">
      <alignment horizontal="left" vertical="top"/>
      <protection locked="0"/>
    </xf>
    <xf numFmtId="0" fontId="29" fillId="0" borderId="87" xfId="0" applyFont="1" applyBorder="1" applyProtection="1">
      <protection locked="0"/>
    </xf>
    <xf numFmtId="49" fontId="27" fillId="4" borderId="28" xfId="29" applyNumberFormat="1" applyFont="1" applyFill="1" applyBorder="1" applyAlignment="1">
      <alignment horizontal="left" vertical="center" wrapText="1" indent="2"/>
    </xf>
    <xf numFmtId="0" fontId="25" fillId="4" borderId="39" xfId="0" applyFont="1" applyFill="1" applyBorder="1" applyAlignment="1">
      <alignment horizontal="left" vertical="center" wrapText="1" indent="1"/>
    </xf>
    <xf numFmtId="0" fontId="26" fillId="0" borderId="0" xfId="51" applyFont="1"/>
    <xf numFmtId="49" fontId="27" fillId="4" borderId="24" xfId="31" applyNumberFormat="1" applyFont="1" applyFill="1" applyBorder="1" applyAlignment="1">
      <alignment horizontal="left" vertical="center" wrapText="1" indent="2"/>
    </xf>
    <xf numFmtId="0" fontId="28" fillId="4" borderId="10" xfId="0" applyFont="1" applyFill="1" applyBorder="1" applyAlignment="1">
      <alignment horizontal="center" vertical="center" wrapText="1"/>
    </xf>
    <xf numFmtId="0" fontId="25" fillId="4" borderId="51" xfId="0" applyFont="1" applyFill="1" applyBorder="1" applyAlignment="1">
      <alignment horizontal="left" vertical="center" wrapText="1" indent="1"/>
    </xf>
    <xf numFmtId="0" fontId="25" fillId="0" borderId="0" xfId="51" applyFont="1"/>
    <xf numFmtId="49" fontId="25" fillId="0" borderId="7" xfId="29" applyNumberFormat="1" applyFont="1" applyBorder="1" applyAlignment="1">
      <alignment horizontal="left" vertical="center" indent="1"/>
    </xf>
    <xf numFmtId="49" fontId="25" fillId="0" borderId="15" xfId="29" applyNumberFormat="1" applyFont="1" applyBorder="1" applyAlignment="1">
      <alignment horizontal="center" vertical="center"/>
    </xf>
    <xf numFmtId="49" fontId="25" fillId="0" borderId="7" xfId="29" applyNumberFormat="1" applyFont="1" applyBorder="1" applyAlignment="1">
      <alignment horizontal="left" vertical="center" wrapText="1" indent="1"/>
    </xf>
    <xf numFmtId="0" fontId="25" fillId="0" borderId="15" xfId="29" applyFont="1" applyBorder="1" applyAlignment="1">
      <alignment horizontal="center" vertical="center"/>
    </xf>
    <xf numFmtId="0" fontId="25" fillId="0" borderId="7" xfId="0" applyFont="1" applyBorder="1" applyAlignment="1">
      <alignment horizontal="left" vertical="center" indent="1"/>
    </xf>
    <xf numFmtId="49" fontId="25" fillId="0" borderId="20" xfId="29" applyNumberFormat="1" applyFont="1" applyBorder="1" applyAlignment="1">
      <alignment vertical="center"/>
    </xf>
    <xf numFmtId="0" fontId="25" fillId="0" borderId="20" xfId="29" applyFont="1" applyBorder="1" applyAlignment="1">
      <alignment horizontal="center" vertical="center"/>
    </xf>
    <xf numFmtId="49" fontId="25" fillId="0" borderId="14" xfId="29" applyNumberFormat="1" applyFont="1" applyBorder="1" applyAlignment="1">
      <alignment horizontal="left" vertical="center" indent="1"/>
    </xf>
    <xf numFmtId="0" fontId="25" fillId="0" borderId="3" xfId="29" applyFont="1" applyBorder="1" applyAlignment="1">
      <alignment horizontal="center" vertical="center"/>
    </xf>
    <xf numFmtId="49" fontId="28" fillId="4" borderId="28" xfId="29" applyNumberFormat="1" applyFont="1" applyFill="1" applyBorder="1" applyAlignment="1">
      <alignment horizontal="left" vertical="center" indent="3"/>
    </xf>
    <xf numFmtId="0" fontId="25" fillId="4" borderId="19" xfId="29" applyFont="1" applyFill="1" applyBorder="1" applyAlignment="1">
      <alignment horizontal="center" vertical="center"/>
    </xf>
    <xf numFmtId="49" fontId="25" fillId="0" borderId="15" xfId="29" applyNumberFormat="1" applyFont="1" applyBorder="1" applyAlignment="1">
      <alignment horizontal="left" vertical="center" indent="1"/>
    </xf>
    <xf numFmtId="49" fontId="28" fillId="4" borderId="28" xfId="29" applyNumberFormat="1" applyFont="1" applyFill="1" applyBorder="1" applyAlignment="1">
      <alignment horizontal="left" vertical="center" indent="2"/>
    </xf>
    <xf numFmtId="0" fontId="25" fillId="4" borderId="39" xfId="29" applyFont="1" applyFill="1" applyBorder="1" applyAlignment="1">
      <alignment horizontal="right"/>
    </xf>
    <xf numFmtId="49" fontId="28" fillId="4" borderId="28" xfId="27" applyNumberFormat="1" applyFont="1" applyFill="1" applyBorder="1" applyAlignment="1">
      <alignment horizontal="left" vertical="center" indent="2"/>
    </xf>
    <xf numFmtId="49" fontId="28" fillId="4" borderId="39" xfId="27" applyNumberFormat="1" applyFont="1" applyFill="1" applyBorder="1" applyAlignment="1">
      <alignment horizontal="left" vertical="center"/>
    </xf>
    <xf numFmtId="165" fontId="27" fillId="3" borderId="14" xfId="0" applyNumberFormat="1" applyFont="1" applyFill="1" applyBorder="1" applyAlignment="1">
      <alignment horizontal="left" vertical="center"/>
    </xf>
    <xf numFmtId="49" fontId="28" fillId="3" borderId="37" xfId="27" applyNumberFormat="1" applyFont="1" applyFill="1" applyBorder="1" applyAlignment="1">
      <alignment horizontal="left" vertical="center"/>
    </xf>
    <xf numFmtId="49" fontId="25" fillId="0" borderId="7" xfId="25" applyNumberFormat="1" applyFont="1" applyBorder="1" applyAlignment="1">
      <alignment horizontal="left" vertical="center" wrapText="1" indent="1"/>
    </xf>
    <xf numFmtId="49" fontId="25" fillId="0" borderId="15" xfId="25" applyNumberFormat="1" applyFont="1" applyBorder="1" applyAlignment="1">
      <alignment horizontal="center" vertical="center"/>
    </xf>
    <xf numFmtId="49" fontId="25" fillId="0" borderId="7" xfId="25" applyNumberFormat="1" applyFont="1" applyBorder="1" applyAlignment="1">
      <alignment horizontal="left" vertical="center" indent="1"/>
    </xf>
    <xf numFmtId="0" fontId="25" fillId="0" borderId="15" xfId="25" applyFont="1" applyBorder="1" applyAlignment="1">
      <alignment horizontal="center" vertical="center"/>
    </xf>
    <xf numFmtId="49" fontId="25" fillId="0" borderId="7" xfId="27" applyNumberFormat="1" applyFont="1" applyBorder="1" applyAlignment="1">
      <alignment horizontal="left" vertical="center" indent="1"/>
    </xf>
    <xf numFmtId="0" fontId="25" fillId="0" borderId="15" xfId="27" applyFont="1" applyBorder="1" applyAlignment="1">
      <alignment horizontal="center" vertical="center"/>
    </xf>
    <xf numFmtId="49" fontId="25" fillId="0" borderId="7" xfId="27" applyNumberFormat="1" applyFont="1" applyBorder="1" applyAlignment="1">
      <alignment horizontal="left" vertical="center" wrapText="1" indent="1"/>
    </xf>
    <xf numFmtId="49" fontId="28" fillId="4" borderId="28" xfId="25" applyNumberFormat="1" applyFont="1" applyFill="1" applyBorder="1" applyAlignment="1">
      <alignment horizontal="left" vertical="center" indent="2"/>
    </xf>
    <xf numFmtId="5" fontId="25" fillId="4" borderId="39" xfId="25" applyNumberFormat="1" applyFont="1" applyFill="1" applyBorder="1" applyAlignment="1">
      <alignment horizontal="right"/>
    </xf>
    <xf numFmtId="0" fontId="27" fillId="3" borderId="14" xfId="51" applyFont="1" applyFill="1" applyBorder="1" applyAlignment="1">
      <alignment vertical="center"/>
    </xf>
    <xf numFmtId="0" fontId="28" fillId="3" borderId="37" xfId="25" applyFont="1" applyFill="1" applyBorder="1" applyAlignment="1">
      <alignment horizontal="center" vertical="center"/>
    </xf>
    <xf numFmtId="0" fontId="25" fillId="0" borderId="15" xfId="23" applyFont="1" applyBorder="1" applyAlignment="1">
      <alignment horizontal="center" vertical="center"/>
    </xf>
    <xf numFmtId="0" fontId="28" fillId="4" borderId="39" xfId="23" applyFont="1" applyFill="1" applyBorder="1" applyAlignment="1">
      <alignment horizontal="center"/>
    </xf>
    <xf numFmtId="49" fontId="25" fillId="0" borderId="7" xfId="21" applyNumberFormat="1" applyFont="1" applyBorder="1" applyAlignment="1">
      <alignment horizontal="left" vertical="center" indent="1"/>
    </xf>
    <xf numFmtId="49" fontId="28" fillId="4" borderId="28" xfId="21" applyNumberFormat="1" applyFont="1" applyFill="1" applyBorder="1" applyAlignment="1">
      <alignment horizontal="left" vertical="center" indent="2"/>
    </xf>
    <xf numFmtId="49" fontId="28" fillId="4" borderId="39" xfId="0" applyNumberFormat="1" applyFont="1" applyFill="1" applyBorder="1" applyAlignment="1">
      <alignment horizontal="center" vertical="center"/>
    </xf>
    <xf numFmtId="49" fontId="28" fillId="3" borderId="37" xfId="0" applyNumberFormat="1" applyFont="1" applyFill="1" applyBorder="1" applyAlignment="1">
      <alignment horizontal="center" vertical="center"/>
    </xf>
    <xf numFmtId="49" fontId="25" fillId="0" borderId="15" xfId="21" applyNumberFormat="1" applyFont="1" applyBorder="1" applyAlignment="1">
      <alignment horizontal="center" vertical="center"/>
    </xf>
    <xf numFmtId="0" fontId="28" fillId="4" borderId="39" xfId="0" applyFont="1" applyFill="1" applyBorder="1" applyAlignment="1">
      <alignment horizontal="center" vertical="top" wrapText="1"/>
    </xf>
    <xf numFmtId="38" fontId="29" fillId="3" borderId="8" xfId="0" applyNumberFormat="1" applyFont="1" applyFill="1" applyBorder="1" applyAlignment="1">
      <alignment horizontal="right"/>
    </xf>
    <xf numFmtId="49" fontId="27" fillId="3" borderId="38" xfId="21" applyNumberFormat="1" applyFont="1" applyFill="1" applyBorder="1" applyAlignment="1">
      <alignment horizontal="left" vertical="center"/>
    </xf>
    <xf numFmtId="0" fontId="28" fillId="3" borderId="16" xfId="0" applyFont="1" applyFill="1" applyBorder="1" applyAlignment="1">
      <alignment horizontal="center" vertical="center" wrapText="1"/>
    </xf>
    <xf numFmtId="49" fontId="25" fillId="0" borderId="15" xfId="21" applyNumberFormat="1" applyFont="1" applyBorder="1" applyAlignment="1">
      <alignment horizontal="left" vertical="center" indent="1"/>
    </xf>
    <xf numFmtId="0" fontId="25" fillId="0" borderId="15" xfId="21" applyFont="1" applyBorder="1" applyAlignment="1">
      <alignment horizontal="center" vertical="center"/>
    </xf>
    <xf numFmtId="49" fontId="25" fillId="0" borderId="15" xfId="21" applyNumberFormat="1" applyFont="1" applyBorder="1" applyAlignment="1">
      <alignment horizontal="left" vertical="center" wrapText="1" indent="1"/>
    </xf>
    <xf numFmtId="0" fontId="25" fillId="0" borderId="15" xfId="21" applyFont="1" applyBorder="1" applyAlignment="1">
      <alignment horizontal="center" vertical="top"/>
    </xf>
    <xf numFmtId="49" fontId="25" fillId="0" borderId="7" xfId="21" applyNumberFormat="1" applyFont="1" applyBorder="1" applyAlignment="1">
      <alignment horizontal="left" vertical="center" wrapText="1" indent="1"/>
    </xf>
    <xf numFmtId="49" fontId="28" fillId="4" borderId="28" xfId="19" applyNumberFormat="1" applyFont="1" applyFill="1" applyBorder="1" applyAlignment="1">
      <alignment horizontal="left" vertical="center" wrapText="1" indent="2"/>
    </xf>
    <xf numFmtId="49" fontId="28" fillId="4" borderId="24" xfId="19" applyNumberFormat="1" applyFont="1" applyFill="1" applyBorder="1" applyAlignment="1">
      <alignment horizontal="left" vertical="center" wrapText="1" indent="2"/>
    </xf>
    <xf numFmtId="0" fontId="28" fillId="4" borderId="10" xfId="0" applyFont="1" applyFill="1" applyBorder="1" applyAlignment="1">
      <alignment horizontal="center" wrapText="1"/>
    </xf>
    <xf numFmtId="49" fontId="27" fillId="10" borderId="21" xfId="21" applyNumberFormat="1" applyFont="1" applyFill="1" applyBorder="1" applyAlignment="1">
      <alignment horizontal="left" vertical="center"/>
    </xf>
    <xf numFmtId="0" fontId="28" fillId="10" borderId="50" xfId="21" applyFont="1" applyFill="1" applyBorder="1" applyAlignment="1">
      <alignment horizontal="center" vertical="center"/>
    </xf>
    <xf numFmtId="49" fontId="25" fillId="0" borderId="15" xfId="19" applyNumberFormat="1" applyFont="1" applyBorder="1" applyAlignment="1">
      <alignment horizontal="left" vertical="center" wrapText="1" indent="1"/>
    </xf>
    <xf numFmtId="0" fontId="25" fillId="0" borderId="15" xfId="19" applyFont="1" applyBorder="1" applyAlignment="1">
      <alignment horizontal="center" vertical="top"/>
    </xf>
    <xf numFmtId="49" fontId="25" fillId="0" borderId="15" xfId="19" applyNumberFormat="1" applyFont="1" applyBorder="1" applyAlignment="1">
      <alignment horizontal="left" vertical="center" indent="1"/>
    </xf>
    <xf numFmtId="0" fontId="25" fillId="0" borderId="15" xfId="19" applyFont="1" applyBorder="1" applyAlignment="1">
      <alignment horizontal="center" vertical="center"/>
    </xf>
    <xf numFmtId="49" fontId="25" fillId="0" borderId="14" xfId="15" applyNumberFormat="1" applyFont="1" applyBorder="1" applyAlignment="1">
      <alignment horizontal="left" vertical="center" indent="1"/>
    </xf>
    <xf numFmtId="0" fontId="25" fillId="0" borderId="3" xfId="15" applyFont="1" applyBorder="1" applyAlignment="1">
      <alignment horizontal="center" vertical="center"/>
    </xf>
    <xf numFmtId="49" fontId="25" fillId="0" borderId="7" xfId="15" applyNumberFormat="1" applyFont="1" applyBorder="1" applyAlignment="1">
      <alignment horizontal="left" vertical="center" indent="1"/>
    </xf>
    <xf numFmtId="49" fontId="25" fillId="0" borderId="7" xfId="17" applyNumberFormat="1" applyFont="1" applyBorder="1" applyAlignment="1">
      <alignment horizontal="left" vertical="center" indent="1"/>
    </xf>
    <xf numFmtId="49" fontId="25" fillId="0" borderId="15" xfId="17" applyNumberFormat="1" applyFont="1" applyBorder="1" applyAlignment="1">
      <alignment horizontal="left" vertical="center" indent="1"/>
    </xf>
    <xf numFmtId="0" fontId="25" fillId="0" borderId="15" xfId="17" applyFont="1" applyBorder="1" applyAlignment="1">
      <alignment horizontal="center" vertical="center"/>
    </xf>
    <xf numFmtId="0" fontId="25" fillId="0" borderId="13" xfId="19" applyFont="1" applyBorder="1" applyAlignment="1">
      <alignment horizontal="center" vertical="center"/>
    </xf>
    <xf numFmtId="49" fontId="28" fillId="4" borderId="28" xfId="15" applyNumberFormat="1" applyFont="1" applyFill="1" applyBorder="1" applyAlignment="1">
      <alignment horizontal="left" vertical="center" indent="2"/>
    </xf>
    <xf numFmtId="49" fontId="28" fillId="4" borderId="39" xfId="15" applyNumberFormat="1" applyFont="1" applyFill="1" applyBorder="1" applyAlignment="1">
      <alignment horizontal="left" vertical="center"/>
    </xf>
    <xf numFmtId="49" fontId="25" fillId="0" borderId="15" xfId="15" applyNumberFormat="1" applyFont="1" applyBorder="1" applyAlignment="1">
      <alignment horizontal="left" vertical="center" indent="1"/>
    </xf>
    <xf numFmtId="49" fontId="25" fillId="0" borderId="15" xfId="15" applyNumberFormat="1" applyFont="1" applyBorder="1" applyAlignment="1">
      <alignment horizontal="center" vertical="center"/>
    </xf>
    <xf numFmtId="0" fontId="25" fillId="0" borderId="15" xfId="15" applyFont="1" applyBorder="1" applyAlignment="1">
      <alignment horizontal="center" vertical="center"/>
    </xf>
    <xf numFmtId="0" fontId="28" fillId="3" borderId="16" xfId="0" applyFont="1" applyFill="1" applyBorder="1" applyAlignment="1">
      <alignment horizontal="center" vertical="center"/>
    </xf>
    <xf numFmtId="49" fontId="25" fillId="0" borderId="15" xfId="13" applyNumberFormat="1" applyFont="1" applyBorder="1" applyAlignment="1">
      <alignment horizontal="left" vertical="center" indent="1"/>
    </xf>
    <xf numFmtId="0" fontId="25" fillId="0" borderId="15" xfId="13" applyFont="1" applyBorder="1" applyAlignment="1">
      <alignment horizontal="center" vertical="center"/>
    </xf>
    <xf numFmtId="0" fontId="25" fillId="0" borderId="15" xfId="0" applyFont="1" applyBorder="1" applyAlignment="1">
      <alignment horizontal="left" vertical="center" indent="1"/>
    </xf>
    <xf numFmtId="49" fontId="25" fillId="0" borderId="3" xfId="13" applyNumberFormat="1" applyFont="1" applyBorder="1" applyAlignment="1">
      <alignment horizontal="left" vertical="center" indent="1"/>
    </xf>
    <xf numFmtId="0" fontId="25" fillId="0" borderId="3" xfId="13" applyFont="1" applyBorder="1" applyAlignment="1">
      <alignment horizontal="center" vertical="center"/>
    </xf>
    <xf numFmtId="49" fontId="28" fillId="4" borderId="28" xfId="13" applyNumberFormat="1" applyFont="1" applyFill="1" applyBorder="1" applyAlignment="1">
      <alignment horizontal="left" vertical="center" indent="2"/>
    </xf>
    <xf numFmtId="0" fontId="28" fillId="4" borderId="39" xfId="13" applyFont="1" applyFill="1" applyBorder="1" applyAlignment="1">
      <alignment horizontal="center" vertical="center"/>
    </xf>
    <xf numFmtId="49" fontId="25" fillId="0" borderId="7" xfId="13" applyNumberFormat="1" applyFont="1" applyBorder="1" applyAlignment="1">
      <alignment horizontal="left" vertical="center" indent="1"/>
    </xf>
    <xf numFmtId="0" fontId="25" fillId="4" borderId="39" xfId="13" applyFont="1" applyFill="1" applyBorder="1" applyAlignment="1">
      <alignment horizontal="center" vertical="center"/>
    </xf>
    <xf numFmtId="0" fontId="28" fillId="3" borderId="37" xfId="13" applyFont="1" applyFill="1" applyBorder="1" applyAlignment="1">
      <alignment horizontal="center" vertical="center"/>
    </xf>
    <xf numFmtId="49" fontId="25" fillId="0" borderId="7" xfId="13" applyNumberFormat="1" applyFont="1" applyBorder="1" applyAlignment="1">
      <alignment horizontal="left" vertical="center" wrapText="1" indent="1"/>
    </xf>
    <xf numFmtId="49" fontId="28" fillId="4" borderId="28" xfId="11" applyNumberFormat="1" applyFont="1" applyFill="1" applyBorder="1" applyAlignment="1">
      <alignment horizontal="left" vertical="center" indent="2"/>
    </xf>
    <xf numFmtId="0" fontId="28" fillId="4" borderId="39" xfId="11" applyFont="1" applyFill="1" applyBorder="1" applyAlignment="1">
      <alignment horizontal="center" vertical="center"/>
    </xf>
    <xf numFmtId="0" fontId="28" fillId="3" borderId="37" xfId="11" applyFont="1" applyFill="1" applyBorder="1" applyAlignment="1">
      <alignment horizontal="center" vertical="center"/>
    </xf>
    <xf numFmtId="49" fontId="25" fillId="0" borderId="7" xfId="11" applyNumberFormat="1" applyFont="1" applyBorder="1" applyAlignment="1">
      <alignment horizontal="left" vertical="center" indent="1"/>
    </xf>
    <xf numFmtId="0" fontId="25" fillId="0" borderId="15" xfId="11" applyFont="1" applyBorder="1" applyAlignment="1">
      <alignment horizontal="center" vertical="center"/>
    </xf>
    <xf numFmtId="49" fontId="25" fillId="0" borderId="15" xfId="11" applyNumberFormat="1" applyFont="1" applyBorder="1" applyAlignment="1">
      <alignment horizontal="center" vertical="center"/>
    </xf>
    <xf numFmtId="0" fontId="25" fillId="4" borderId="39" xfId="0" applyFont="1" applyFill="1" applyBorder="1" applyAlignment="1">
      <alignment horizontal="left" vertical="center"/>
    </xf>
    <xf numFmtId="49" fontId="27" fillId="11" borderId="14" xfId="11" applyNumberFormat="1" applyFont="1" applyFill="1" applyBorder="1" applyAlignment="1">
      <alignment horizontal="left" vertical="center"/>
    </xf>
    <xf numFmtId="0" fontId="28" fillId="11" borderId="50" xfId="0" applyFont="1" applyFill="1" applyBorder="1" applyAlignment="1">
      <alignment horizontal="center" vertical="center"/>
    </xf>
    <xf numFmtId="49" fontId="27" fillId="3" borderId="7" xfId="11" applyNumberFormat="1" applyFont="1" applyFill="1" applyBorder="1" applyAlignment="1">
      <alignment horizontal="left" vertical="center"/>
    </xf>
    <xf numFmtId="0" fontId="28" fillId="3" borderId="16" xfId="0" applyFont="1" applyFill="1" applyBorder="1"/>
    <xf numFmtId="49" fontId="27" fillId="11" borderId="7" xfId="9" applyNumberFormat="1" applyFont="1" applyFill="1" applyBorder="1" applyAlignment="1">
      <alignment horizontal="left" vertical="center"/>
    </xf>
    <xf numFmtId="49" fontId="28" fillId="11" borderId="16" xfId="9" applyNumberFormat="1" applyFont="1" applyFill="1" applyBorder="1" applyAlignment="1">
      <alignment horizontal="center" vertical="center"/>
    </xf>
    <xf numFmtId="49" fontId="25" fillId="0" borderId="7" xfId="9" applyNumberFormat="1" applyFont="1" applyBorder="1" applyAlignment="1">
      <alignment horizontal="left" vertical="center" indent="1"/>
    </xf>
    <xf numFmtId="0" fontId="25" fillId="0" borderId="15" xfId="9" applyFont="1" applyBorder="1" applyAlignment="1">
      <alignment horizontal="center" vertical="center"/>
    </xf>
    <xf numFmtId="49" fontId="25" fillId="0" borderId="7" xfId="9" applyNumberFormat="1" applyFont="1" applyBorder="1" applyAlignment="1">
      <alignment horizontal="left" vertical="center" wrapText="1" indent="1"/>
    </xf>
    <xf numFmtId="49" fontId="25" fillId="0" borderId="15" xfId="9" applyNumberFormat="1" applyFont="1" applyBorder="1" applyAlignment="1">
      <alignment horizontal="center" vertical="center"/>
    </xf>
    <xf numFmtId="49" fontId="25" fillId="0" borderId="7" xfId="11" applyNumberFormat="1" applyFont="1" applyBorder="1" applyAlignment="1">
      <alignment horizontal="left" vertical="center" wrapText="1" indent="1"/>
    </xf>
    <xf numFmtId="49" fontId="25" fillId="0" borderId="15" xfId="11" applyNumberFormat="1" applyFont="1" applyBorder="1" applyAlignment="1">
      <alignment horizontal="center" vertical="top"/>
    </xf>
    <xf numFmtId="49" fontId="28" fillId="4" borderId="28" xfId="9" applyNumberFormat="1" applyFont="1" applyFill="1" applyBorder="1" applyAlignment="1">
      <alignment horizontal="left" vertical="center" wrapText="1" indent="2"/>
    </xf>
    <xf numFmtId="49" fontId="28" fillId="4" borderId="19" xfId="0" applyNumberFormat="1" applyFont="1" applyFill="1" applyBorder="1" applyAlignment="1">
      <alignment horizontal="center" vertical="center"/>
    </xf>
    <xf numFmtId="49" fontId="27" fillId="10" borderId="14" xfId="9" applyNumberFormat="1" applyFont="1" applyFill="1" applyBorder="1" applyAlignment="1">
      <alignment horizontal="left" vertical="center"/>
    </xf>
    <xf numFmtId="0" fontId="28" fillId="10" borderId="50" xfId="9" applyFont="1" applyFill="1" applyBorder="1" applyAlignment="1">
      <alignment horizontal="center" vertical="center"/>
    </xf>
    <xf numFmtId="49" fontId="25" fillId="0" borderId="14" xfId="9" applyNumberFormat="1" applyFont="1" applyBorder="1" applyAlignment="1">
      <alignment horizontal="left" vertical="center" indent="1"/>
    </xf>
    <xf numFmtId="0" fontId="25" fillId="0" borderId="3" xfId="9" applyFont="1" applyBorder="1" applyAlignment="1">
      <alignment horizontal="center" vertical="center"/>
    </xf>
    <xf numFmtId="49" fontId="28" fillId="4" borderId="28" xfId="9" applyNumberFormat="1" applyFont="1" applyFill="1" applyBorder="1" applyAlignment="1">
      <alignment horizontal="left" vertical="center" indent="2"/>
    </xf>
    <xf numFmtId="49" fontId="28" fillId="4" borderId="24" xfId="9" applyNumberFormat="1" applyFont="1" applyFill="1" applyBorder="1" applyAlignment="1">
      <alignment horizontal="left" vertical="center" wrapText="1" indent="2"/>
    </xf>
    <xf numFmtId="49" fontId="28" fillId="4" borderId="10" xfId="0" applyNumberFormat="1" applyFont="1" applyFill="1" applyBorder="1" applyAlignment="1">
      <alignment horizontal="center" vertical="center"/>
    </xf>
    <xf numFmtId="49" fontId="28" fillId="4" borderId="22" xfId="9" applyNumberFormat="1" applyFont="1" applyFill="1" applyBorder="1" applyAlignment="1">
      <alignment horizontal="left" vertical="center" wrapText="1" indent="2"/>
    </xf>
    <xf numFmtId="49" fontId="28" fillId="4" borderId="35" xfId="0" applyNumberFormat="1" applyFont="1" applyFill="1" applyBorder="1" applyAlignment="1">
      <alignment horizontal="center" vertical="center"/>
    </xf>
    <xf numFmtId="49" fontId="27" fillId="10" borderId="21" xfId="9" applyNumberFormat="1" applyFont="1" applyFill="1" applyBorder="1" applyAlignment="1">
      <alignment horizontal="left" vertical="center" wrapText="1"/>
    </xf>
    <xf numFmtId="0" fontId="28" fillId="10" borderId="55" xfId="9" applyFont="1" applyFill="1" applyBorder="1" applyAlignment="1">
      <alignment horizontal="center" vertical="top"/>
    </xf>
    <xf numFmtId="49" fontId="25" fillId="0" borderId="15" xfId="9" applyNumberFormat="1" applyFont="1" applyBorder="1" applyAlignment="1">
      <alignment horizontal="left" vertical="center" indent="1"/>
    </xf>
    <xf numFmtId="49" fontId="28" fillId="4" borderId="28" xfId="7" applyNumberFormat="1" applyFont="1" applyFill="1" applyBorder="1" applyAlignment="1">
      <alignment horizontal="left" vertical="center" indent="2"/>
    </xf>
    <xf numFmtId="49" fontId="28" fillId="4" borderId="39" xfId="7" applyNumberFormat="1" applyFont="1" applyFill="1" applyBorder="1" applyAlignment="1">
      <alignment horizontal="center" vertical="center"/>
    </xf>
    <xf numFmtId="49" fontId="27" fillId="11" borderId="14" xfId="9" applyNumberFormat="1" applyFont="1" applyFill="1" applyBorder="1" applyAlignment="1">
      <alignment horizontal="left" vertical="center"/>
    </xf>
    <xf numFmtId="49" fontId="28" fillId="11" borderId="37" xfId="9" applyNumberFormat="1" applyFont="1" applyFill="1" applyBorder="1" applyAlignment="1">
      <alignment horizontal="center" vertical="center"/>
    </xf>
    <xf numFmtId="49" fontId="25" fillId="0" borderId="15" xfId="7" applyNumberFormat="1" applyFont="1" applyBorder="1" applyAlignment="1">
      <alignment horizontal="left" vertical="center" indent="1"/>
    </xf>
    <xf numFmtId="49" fontId="25" fillId="0" borderId="15" xfId="7" applyNumberFormat="1" applyFont="1" applyBorder="1" applyAlignment="1">
      <alignment horizontal="center" vertical="center"/>
    </xf>
    <xf numFmtId="49" fontId="27" fillId="11" borderId="14" xfId="7" applyNumberFormat="1" applyFont="1" applyFill="1" applyBorder="1" applyAlignment="1">
      <alignment horizontal="left" vertical="center"/>
    </xf>
    <xf numFmtId="49" fontId="28" fillId="11" borderId="37" xfId="7" applyNumberFormat="1" applyFont="1" applyFill="1" applyBorder="1" applyAlignment="1">
      <alignment horizontal="center" vertical="center"/>
    </xf>
    <xf numFmtId="49" fontId="25" fillId="0" borderId="7" xfId="7" applyNumberFormat="1" applyFont="1" applyBorder="1" applyAlignment="1">
      <alignment horizontal="left" vertical="center" indent="1"/>
    </xf>
    <xf numFmtId="49" fontId="25" fillId="0" borderId="15" xfId="5" applyNumberFormat="1" applyFont="1" applyBorder="1" applyAlignment="1">
      <alignment horizontal="left" vertical="center" indent="1"/>
    </xf>
    <xf numFmtId="49" fontId="25" fillId="0" borderId="15" xfId="5" applyNumberFormat="1" applyFont="1" applyBorder="1" applyAlignment="1">
      <alignment horizontal="center" vertical="center"/>
    </xf>
    <xf numFmtId="49" fontId="28" fillId="4" borderId="28" xfId="5" applyNumberFormat="1" applyFont="1" applyFill="1" applyBorder="1" applyAlignment="1">
      <alignment horizontal="left" vertical="center" indent="2"/>
    </xf>
    <xf numFmtId="49" fontId="28" fillId="4" borderId="39" xfId="5" applyNumberFormat="1" applyFont="1" applyFill="1" applyBorder="1" applyAlignment="1">
      <alignment horizontal="center" vertical="center"/>
    </xf>
    <xf numFmtId="49" fontId="27" fillId="11" borderId="14" xfId="5" applyNumberFormat="1" applyFont="1" applyFill="1" applyBorder="1" applyAlignment="1">
      <alignment horizontal="left" vertical="center"/>
    </xf>
    <xf numFmtId="49" fontId="28" fillId="11" borderId="37" xfId="5" applyNumberFormat="1" applyFont="1" applyFill="1" applyBorder="1" applyAlignment="1">
      <alignment horizontal="center" vertical="center"/>
    </xf>
    <xf numFmtId="49" fontId="25" fillId="0" borderId="7" xfId="5" applyNumberFormat="1" applyFont="1" applyBorder="1" applyAlignment="1">
      <alignment horizontal="left" vertical="center" indent="1"/>
    </xf>
    <xf numFmtId="49" fontId="25" fillId="0" borderId="15" xfId="3" applyNumberFormat="1" applyFont="1" applyBorder="1" applyAlignment="1">
      <alignment horizontal="left" vertical="center" wrapText="1" indent="1"/>
    </xf>
    <xf numFmtId="0" fontId="25" fillId="0" borderId="15" xfId="3" applyFont="1" applyBorder="1" applyAlignment="1">
      <alignment horizontal="center" vertical="center"/>
    </xf>
    <xf numFmtId="49" fontId="25" fillId="0" borderId="2" xfId="3" applyNumberFormat="1" applyFont="1" applyBorder="1" applyAlignment="1">
      <alignment horizontal="left" vertical="center" wrapText="1" indent="1"/>
    </xf>
    <xf numFmtId="0" fontId="25" fillId="0" borderId="2" xfId="3" applyFont="1" applyBorder="1" applyAlignment="1">
      <alignment horizontal="center" vertical="top"/>
    </xf>
    <xf numFmtId="49" fontId="25" fillId="0" borderId="15" xfId="5" applyNumberFormat="1" applyFont="1" applyBorder="1" applyAlignment="1">
      <alignment horizontal="left" vertical="center" wrapText="1" indent="1"/>
    </xf>
    <xf numFmtId="49" fontId="25" fillId="0" borderId="2" xfId="5" applyNumberFormat="1" applyFont="1" applyBorder="1" applyAlignment="1">
      <alignment horizontal="center" vertical="center"/>
    </xf>
    <xf numFmtId="49" fontId="25" fillId="0" borderId="15" xfId="5" applyNumberFormat="1" applyFont="1" applyBorder="1" applyAlignment="1">
      <alignment horizontal="center" vertical="top"/>
    </xf>
    <xf numFmtId="49" fontId="25" fillId="0" borderId="16" xfId="5" applyNumberFormat="1" applyFont="1" applyBorder="1" applyAlignment="1">
      <alignment horizontal="center" vertical="center"/>
    </xf>
    <xf numFmtId="49" fontId="28" fillId="4" borderId="28" xfId="3" applyNumberFormat="1" applyFont="1" applyFill="1" applyBorder="1" applyAlignment="1">
      <alignment horizontal="left" vertical="center" indent="2"/>
    </xf>
    <xf numFmtId="0" fontId="28" fillId="4" borderId="39" xfId="3" applyFont="1" applyFill="1" applyBorder="1" applyAlignment="1">
      <alignment horizontal="center" vertical="center"/>
    </xf>
    <xf numFmtId="49" fontId="27" fillId="11" borderId="14" xfId="3" applyNumberFormat="1" applyFont="1" applyFill="1" applyBorder="1" applyAlignment="1">
      <alignment horizontal="left" vertical="center"/>
    </xf>
    <xf numFmtId="0" fontId="28" fillId="11" borderId="37" xfId="3" applyFont="1" applyFill="1" applyBorder="1" applyAlignment="1">
      <alignment horizontal="center" vertical="center"/>
    </xf>
    <xf numFmtId="0" fontId="26" fillId="0" borderId="0" xfId="51" applyFont="1" applyAlignment="1">
      <alignment vertical="top"/>
    </xf>
    <xf numFmtId="0" fontId="30" fillId="0" borderId="0" xfId="51" applyFont="1"/>
    <xf numFmtId="49" fontId="29" fillId="0" borderId="7" xfId="51" applyNumberFormat="1" applyFont="1" applyBorder="1" applyAlignment="1">
      <alignment horizontal="left" vertical="center" indent="1"/>
    </xf>
    <xf numFmtId="0" fontId="25" fillId="0" borderId="15" xfId="51" applyFont="1" applyBorder="1" applyAlignment="1">
      <alignment horizontal="center" vertical="center"/>
    </xf>
    <xf numFmtId="49" fontId="29" fillId="0" borderId="38" xfId="51" applyNumberFormat="1" applyFont="1" applyBorder="1" applyAlignment="1">
      <alignment horizontal="left" vertical="center" indent="1"/>
    </xf>
    <xf numFmtId="0" fontId="25" fillId="0" borderId="2" xfId="51" applyFont="1" applyBorder="1" applyAlignment="1">
      <alignment horizontal="center" vertical="center"/>
    </xf>
    <xf numFmtId="49" fontId="29" fillId="0" borderId="7" xfId="3" applyNumberFormat="1" applyFont="1" applyBorder="1" applyAlignment="1">
      <alignment horizontal="left" vertical="center" indent="1"/>
    </xf>
    <xf numFmtId="49" fontId="25" fillId="0" borderId="15" xfId="3" applyNumberFormat="1" applyFont="1" applyBorder="1" applyAlignment="1">
      <alignment horizontal="center" vertical="center"/>
    </xf>
    <xf numFmtId="49" fontId="28" fillId="4" borderId="28" xfId="51" applyNumberFormat="1" applyFont="1" applyFill="1" applyBorder="1" applyAlignment="1">
      <alignment horizontal="left" vertical="center" indent="2"/>
    </xf>
    <xf numFmtId="0" fontId="28" fillId="4" borderId="39" xfId="51" applyFont="1" applyFill="1" applyBorder="1" applyAlignment="1">
      <alignment horizontal="center" vertical="top"/>
    </xf>
    <xf numFmtId="49" fontId="27" fillId="11" borderId="12" xfId="51" applyNumberFormat="1" applyFont="1" applyFill="1" applyBorder="1" applyAlignment="1">
      <alignment horizontal="left" vertical="center"/>
    </xf>
    <xf numFmtId="0" fontId="28" fillId="11" borderId="37" xfId="51" applyFont="1" applyFill="1" applyBorder="1" applyAlignment="1">
      <alignment horizontal="center" vertical="center"/>
    </xf>
    <xf numFmtId="49" fontId="29" fillId="0" borderId="7" xfId="51" applyNumberFormat="1" applyFont="1" applyBorder="1" applyAlignment="1">
      <alignment horizontal="left" indent="1"/>
    </xf>
    <xf numFmtId="0" fontId="25" fillId="0" borderId="15" xfId="51" applyFont="1" applyBorder="1" applyAlignment="1">
      <alignment horizontal="center"/>
    </xf>
    <xf numFmtId="49" fontId="28" fillId="4" borderId="28" xfId="51" applyNumberFormat="1" applyFont="1" applyFill="1" applyBorder="1" applyAlignment="1">
      <alignment horizontal="left" vertical="center" wrapText="1" indent="2"/>
    </xf>
    <xf numFmtId="0" fontId="28" fillId="4" borderId="39" xfId="0" applyFont="1" applyFill="1" applyBorder="1" applyAlignment="1">
      <alignment horizontal="center" vertical="center"/>
    </xf>
    <xf numFmtId="49" fontId="27" fillId="11" borderId="14" xfId="51" applyNumberFormat="1" applyFont="1" applyFill="1" applyBorder="1" applyAlignment="1">
      <alignment horizontal="left" vertical="center"/>
    </xf>
    <xf numFmtId="0" fontId="28" fillId="11" borderId="20" xfId="51" applyFont="1" applyFill="1" applyBorder="1" applyAlignment="1">
      <alignment horizontal="center" vertical="center"/>
    </xf>
    <xf numFmtId="49" fontId="29" fillId="0" borderId="14" xfId="51" applyNumberFormat="1" applyFont="1" applyBorder="1" applyAlignment="1">
      <alignment horizontal="left" indent="1"/>
    </xf>
    <xf numFmtId="0" fontId="25" fillId="0" borderId="3" xfId="51" applyFont="1" applyBorder="1" applyAlignment="1">
      <alignment horizontal="center"/>
    </xf>
    <xf numFmtId="49" fontId="29" fillId="0" borderId="12" xfId="51" applyNumberFormat="1" applyFont="1" applyBorder="1" applyAlignment="1">
      <alignment horizontal="left" vertical="center" indent="1"/>
    </xf>
    <xf numFmtId="0" fontId="25" fillId="0" borderId="8" xfId="51" applyFont="1" applyBorder="1" applyAlignment="1">
      <alignment horizontal="center" vertical="center"/>
    </xf>
    <xf numFmtId="0" fontId="25" fillId="0" borderId="4" xfId="51" applyFont="1" applyBorder="1" applyAlignment="1">
      <alignment horizontal="left" vertical="top"/>
    </xf>
    <xf numFmtId="0" fontId="25" fillId="0" borderId="2" xfId="51" applyFont="1" applyBorder="1" applyAlignment="1">
      <alignment vertical="top"/>
    </xf>
    <xf numFmtId="49" fontId="27" fillId="0" borderId="2" xfId="51" applyNumberFormat="1" applyFont="1" applyBorder="1" applyAlignment="1">
      <alignment horizontal="center"/>
    </xf>
    <xf numFmtId="49" fontId="27" fillId="0" borderId="2" xfId="2" applyNumberFormat="1" applyFont="1" applyBorder="1" applyAlignment="1">
      <alignment horizontal="center"/>
    </xf>
    <xf numFmtId="0" fontId="27" fillId="0" borderId="14" xfId="51" applyFont="1" applyBorder="1" applyAlignment="1">
      <alignment horizontal="center" vertical="top" wrapText="1"/>
    </xf>
    <xf numFmtId="49" fontId="27" fillId="0" borderId="3" xfId="51" applyNumberFormat="1" applyFont="1" applyBorder="1" applyAlignment="1">
      <alignment horizontal="center" vertical="top" wrapText="1"/>
    </xf>
    <xf numFmtId="49" fontId="27" fillId="0" borderId="3" xfId="2" applyNumberFormat="1" applyFont="1" applyBorder="1" applyAlignment="1">
      <alignment horizontal="center" vertical="top" wrapText="1"/>
    </xf>
    <xf numFmtId="49" fontId="27" fillId="10" borderId="7" xfId="51" applyNumberFormat="1" applyFont="1" applyFill="1" applyBorder="1" applyAlignment="1">
      <alignment horizontal="center" vertical="center"/>
    </xf>
    <xf numFmtId="49" fontId="28" fillId="10" borderId="25" xfId="51" applyNumberFormat="1" applyFont="1" applyFill="1" applyBorder="1" applyAlignment="1">
      <alignment horizontal="center" vertical="center"/>
    </xf>
    <xf numFmtId="49" fontId="27" fillId="11" borderId="14" xfId="51" applyNumberFormat="1" applyFont="1" applyFill="1" applyBorder="1" applyAlignment="1">
      <alignment horizontal="left" vertical="center" wrapText="1"/>
    </xf>
    <xf numFmtId="0" fontId="28" fillId="12" borderId="15" xfId="0" applyFont="1" applyFill="1" applyBorder="1" applyAlignment="1">
      <alignment horizontal="center" vertical="center" wrapText="1"/>
    </xf>
    <xf numFmtId="38" fontId="29" fillId="4" borderId="90" xfId="0" applyNumberFormat="1" applyFont="1" applyFill="1" applyBorder="1" applyAlignment="1">
      <alignment horizontal="right"/>
    </xf>
    <xf numFmtId="0" fontId="26" fillId="0" borderId="0" xfId="33" applyFont="1" applyAlignment="1">
      <alignment vertical="center"/>
    </xf>
    <xf numFmtId="3" fontId="26" fillId="0" borderId="0" xfId="33" applyNumberFormat="1" applyFont="1"/>
    <xf numFmtId="0" fontId="27" fillId="2" borderId="0" xfId="33" applyFont="1" applyFill="1" applyAlignment="1">
      <alignment horizontal="left" vertical="center" indent="1"/>
    </xf>
    <xf numFmtId="0" fontId="27" fillId="2" borderId="14" xfId="48" applyFont="1" applyFill="1" applyBorder="1" applyAlignment="1">
      <alignment horizontal="center" vertical="center"/>
    </xf>
    <xf numFmtId="49" fontId="28" fillId="4" borderId="19" xfId="48" applyNumberFormat="1" applyFont="1" applyFill="1" applyBorder="1" applyAlignment="1">
      <alignment horizontal="left" vertical="center" indent="3"/>
    </xf>
    <xf numFmtId="49" fontId="27" fillId="3" borderId="4" xfId="48" applyNumberFormat="1" applyFont="1" applyFill="1" applyBorder="1" applyAlignment="1">
      <alignment horizontal="left" vertical="center" indent="2"/>
    </xf>
    <xf numFmtId="49" fontId="28" fillId="4" borderId="4" xfId="48" applyNumberFormat="1" applyFont="1" applyFill="1" applyBorder="1" applyAlignment="1">
      <alignment horizontal="left" vertical="center" indent="2"/>
    </xf>
    <xf numFmtId="49" fontId="25" fillId="0" borderId="25" xfId="48" applyNumberFormat="1" applyFont="1" applyBorder="1" applyAlignment="1">
      <alignment horizontal="left" vertical="center" indent="2"/>
    </xf>
    <xf numFmtId="49" fontId="25" fillId="0" borderId="4" xfId="48" applyNumberFormat="1" applyFont="1" applyBorder="1" applyAlignment="1">
      <alignment horizontal="left" vertical="center" indent="2"/>
    </xf>
    <xf numFmtId="0" fontId="26" fillId="3" borderId="0" xfId="33" applyFont="1" applyFill="1"/>
    <xf numFmtId="49" fontId="27" fillId="2" borderId="33" xfId="48" applyNumberFormat="1" applyFont="1" applyFill="1" applyBorder="1" applyAlignment="1">
      <alignment horizontal="left" vertical="center" indent="1"/>
    </xf>
    <xf numFmtId="49" fontId="27" fillId="3" borderId="33" xfId="48" applyNumberFormat="1" applyFont="1" applyFill="1" applyBorder="1" applyAlignment="1">
      <alignment horizontal="left" vertical="center" indent="2"/>
    </xf>
    <xf numFmtId="49" fontId="25" fillId="0" borderId="33" xfId="48" applyNumberFormat="1" applyFont="1" applyBorder="1" applyAlignment="1">
      <alignment horizontal="left" vertical="center" indent="2"/>
    </xf>
    <xf numFmtId="0" fontId="25" fillId="0" borderId="15" xfId="48" applyFont="1" applyBorder="1" applyAlignment="1">
      <alignment horizontal="center" vertical="center"/>
    </xf>
    <xf numFmtId="49" fontId="25" fillId="0" borderId="25" xfId="48" applyNumberFormat="1" applyFont="1" applyBorder="1" applyAlignment="1">
      <alignment horizontal="left" vertical="center" wrapText="1" indent="2"/>
    </xf>
    <xf numFmtId="0" fontId="28" fillId="4" borderId="19" xfId="48" applyFont="1" applyFill="1" applyBorder="1" applyAlignment="1">
      <alignment horizontal="center" vertical="center"/>
    </xf>
    <xf numFmtId="49" fontId="27" fillId="2" borderId="33" xfId="48" applyNumberFormat="1" applyFont="1" applyFill="1" applyBorder="1" applyAlignment="1">
      <alignment horizontal="left" vertical="center"/>
    </xf>
    <xf numFmtId="0" fontId="27" fillId="2" borderId="50" xfId="48" applyFont="1" applyFill="1" applyBorder="1" applyAlignment="1">
      <alignment horizontal="center" vertical="center"/>
    </xf>
    <xf numFmtId="0" fontId="26" fillId="20" borderId="0" xfId="33" applyFont="1" applyFill="1"/>
    <xf numFmtId="0" fontId="28" fillId="20" borderId="38" xfId="33" applyFont="1" applyFill="1" applyBorder="1" applyAlignment="1">
      <alignment horizontal="left" vertical="center" indent="3"/>
    </xf>
    <xf numFmtId="0" fontId="28" fillId="20" borderId="4" xfId="47" applyFont="1" applyFill="1" applyBorder="1" applyAlignment="1">
      <alignment horizontal="center" vertical="center"/>
    </xf>
    <xf numFmtId="49" fontId="27" fillId="10" borderId="7" xfId="48" applyNumberFormat="1" applyFont="1" applyFill="1" applyBorder="1" applyAlignment="1">
      <alignment horizontal="left" vertical="center"/>
    </xf>
    <xf numFmtId="49" fontId="27" fillId="2" borderId="14" xfId="48" applyNumberFormat="1" applyFont="1" applyFill="1" applyBorder="1" applyAlignment="1">
      <alignment horizontal="center" vertical="center"/>
    </xf>
    <xf numFmtId="49" fontId="27" fillId="2" borderId="47" xfId="47" applyNumberFormat="1" applyFont="1" applyFill="1" applyBorder="1" applyAlignment="1">
      <alignment horizontal="left" vertical="center" indent="1"/>
    </xf>
    <xf numFmtId="0" fontId="27" fillId="2" borderId="10" xfId="47" applyFont="1" applyFill="1" applyBorder="1" applyAlignment="1">
      <alignment horizontal="center" vertical="center"/>
    </xf>
    <xf numFmtId="49" fontId="28" fillId="4" borderId="19" xfId="47" applyNumberFormat="1" applyFont="1" applyFill="1" applyBorder="1" applyAlignment="1">
      <alignment horizontal="left" vertical="center" indent="3"/>
    </xf>
    <xf numFmtId="49" fontId="25" fillId="0" borderId="25" xfId="47" applyNumberFormat="1" applyFont="1" applyBorder="1" applyAlignment="1">
      <alignment horizontal="left" vertical="center" wrapText="1" indent="2"/>
    </xf>
    <xf numFmtId="0" fontId="25" fillId="0" borderId="7" xfId="47" applyFont="1" applyBorder="1" applyAlignment="1">
      <alignment horizontal="center" vertical="center"/>
    </xf>
    <xf numFmtId="49" fontId="25" fillId="0" borderId="25" xfId="47" applyNumberFormat="1" applyFont="1" applyBorder="1" applyAlignment="1">
      <alignment horizontal="left" vertical="center" indent="2"/>
    </xf>
    <xf numFmtId="49" fontId="28" fillId="4" borderId="28" xfId="36" applyNumberFormat="1" applyFont="1" applyFill="1" applyBorder="1" applyAlignment="1">
      <alignment horizontal="left" vertical="center" wrapText="1" indent="3"/>
    </xf>
    <xf numFmtId="0" fontId="28" fillId="4" borderId="19" xfId="0" applyFont="1" applyFill="1" applyBorder="1" applyAlignment="1">
      <alignment horizontal="center" vertical="center" wrapText="1"/>
    </xf>
    <xf numFmtId="49" fontId="27" fillId="2" borderId="33" xfId="47" applyNumberFormat="1" applyFont="1" applyFill="1" applyBorder="1" applyAlignment="1">
      <alignment horizontal="left" vertical="center" indent="1"/>
    </xf>
    <xf numFmtId="0" fontId="27" fillId="2" borderId="20" xfId="47" applyFont="1" applyFill="1" applyBorder="1" applyAlignment="1">
      <alignment horizontal="center" vertical="center"/>
    </xf>
    <xf numFmtId="49" fontId="27" fillId="3" borderId="25" xfId="47" applyNumberFormat="1" applyFont="1" applyFill="1" applyBorder="1" applyAlignment="1">
      <alignment horizontal="left" vertical="center" indent="2"/>
    </xf>
    <xf numFmtId="49" fontId="27" fillId="3" borderId="7" xfId="47" applyNumberFormat="1" applyFont="1" applyFill="1" applyBorder="1" applyAlignment="1">
      <alignment horizontal="center" vertical="center"/>
    </xf>
    <xf numFmtId="0" fontId="25" fillId="0" borderId="33" xfId="0" applyFont="1" applyBorder="1" applyAlignment="1">
      <alignment horizontal="left" vertical="center" indent="2"/>
    </xf>
    <xf numFmtId="0" fontId="25" fillId="0" borderId="20" xfId="0" applyFont="1" applyBorder="1" applyAlignment="1">
      <alignment horizontal="center" vertical="center" wrapText="1"/>
    </xf>
    <xf numFmtId="49" fontId="28" fillId="4" borderId="28" xfId="36" applyNumberFormat="1" applyFont="1" applyFill="1" applyBorder="1" applyAlignment="1">
      <alignment horizontal="left" vertical="center" indent="3"/>
    </xf>
    <xf numFmtId="0" fontId="28" fillId="4" borderId="19" xfId="0" applyFont="1" applyFill="1" applyBorder="1" applyAlignment="1">
      <alignment horizontal="center" vertical="center"/>
    </xf>
    <xf numFmtId="49" fontId="25" fillId="0" borderId="25" xfId="36" applyNumberFormat="1" applyFont="1" applyBorder="1" applyAlignment="1">
      <alignment horizontal="left" vertical="center" indent="2"/>
    </xf>
    <xf numFmtId="49" fontId="25" fillId="0" borderId="33" xfId="36" applyNumberFormat="1" applyFont="1" applyBorder="1" applyAlignment="1">
      <alignment horizontal="left" vertical="center" indent="2"/>
    </xf>
    <xf numFmtId="0" fontId="25" fillId="0" borderId="3" xfId="0" applyFont="1" applyBorder="1" applyAlignment="1">
      <alignment horizontal="center" vertical="center"/>
    </xf>
    <xf numFmtId="49" fontId="25" fillId="0" borderId="0" xfId="36" applyNumberFormat="1" applyFont="1" applyAlignment="1">
      <alignment horizontal="left" vertical="center" wrapText="1" indent="2"/>
    </xf>
    <xf numFmtId="0" fontId="25" fillId="0" borderId="12" xfId="36" applyFont="1" applyBorder="1" applyAlignment="1">
      <alignment horizontal="center" vertical="center"/>
    </xf>
    <xf numFmtId="49" fontId="25" fillId="0" borderId="4" xfId="36" applyNumberFormat="1" applyFont="1" applyBorder="1" applyAlignment="1">
      <alignment horizontal="left" vertical="center" wrapText="1" indent="2"/>
    </xf>
    <xf numFmtId="0" fontId="25" fillId="0" borderId="2" xfId="36" applyFont="1" applyBorder="1" applyAlignment="1">
      <alignment horizontal="center" vertical="center"/>
    </xf>
    <xf numFmtId="49" fontId="25" fillId="0" borderId="4" xfId="36" applyNumberFormat="1" applyFont="1" applyBorder="1" applyAlignment="1">
      <alignment horizontal="left" vertical="center" indent="2"/>
    </xf>
    <xf numFmtId="0" fontId="25" fillId="0" borderId="15" xfId="36" applyFont="1" applyBorder="1" applyAlignment="1">
      <alignment horizontal="center" vertical="center"/>
    </xf>
    <xf numFmtId="49" fontId="28" fillId="4" borderId="26" xfId="36" applyNumberFormat="1" applyFont="1" applyFill="1" applyBorder="1" applyAlignment="1">
      <alignment horizontal="left" vertical="center" indent="3"/>
    </xf>
    <xf numFmtId="49" fontId="25" fillId="0" borderId="25" xfId="35" applyNumberFormat="1" applyFont="1" applyBorder="1" applyAlignment="1">
      <alignment horizontal="left" vertical="center" indent="2"/>
    </xf>
    <xf numFmtId="0" fontId="25" fillId="0" borderId="7" xfId="35" applyFont="1" applyBorder="1" applyAlignment="1">
      <alignment horizontal="center" vertical="center"/>
    </xf>
    <xf numFmtId="49" fontId="25" fillId="0" borderId="25" xfId="0" applyNumberFormat="1" applyFont="1" applyBorder="1" applyAlignment="1">
      <alignment horizontal="left" vertical="center" indent="2"/>
    </xf>
    <xf numFmtId="0" fontId="25" fillId="0" borderId="7" xfId="36" applyFont="1" applyBorder="1" applyAlignment="1">
      <alignment horizontal="center" vertical="center"/>
    </xf>
    <xf numFmtId="49" fontId="25" fillId="0" borderId="25" xfId="36" applyNumberFormat="1" applyFont="1" applyBorder="1" applyAlignment="1">
      <alignment horizontal="left" vertical="top" indent="2"/>
    </xf>
    <xf numFmtId="0" fontId="28" fillId="2" borderId="0" xfId="33" applyFont="1" applyFill="1" applyAlignment="1">
      <alignment horizontal="left" vertical="center" indent="1"/>
    </xf>
    <xf numFmtId="0" fontId="28" fillId="2" borderId="7" xfId="35" applyFont="1" applyFill="1" applyBorder="1" applyAlignment="1">
      <alignment horizontal="center" vertical="center"/>
    </xf>
    <xf numFmtId="49" fontId="27" fillId="3" borderId="25" xfId="35" applyNumberFormat="1" applyFont="1" applyFill="1" applyBorder="1" applyAlignment="1">
      <alignment horizontal="left" vertical="center" indent="2"/>
    </xf>
    <xf numFmtId="0" fontId="29" fillId="3" borderId="16" xfId="35" applyFont="1" applyFill="1" applyBorder="1" applyAlignment="1">
      <alignment horizontal="center" vertical="center"/>
    </xf>
    <xf numFmtId="165" fontId="27" fillId="2" borderId="33" xfId="0" applyNumberFormat="1" applyFont="1" applyFill="1" applyBorder="1" applyAlignment="1">
      <alignment horizontal="left" vertical="center" indent="1"/>
    </xf>
    <xf numFmtId="0" fontId="27" fillId="2" borderId="14" xfId="35" applyFont="1" applyFill="1" applyBorder="1" applyAlignment="1">
      <alignment horizontal="center" vertical="center"/>
    </xf>
    <xf numFmtId="49" fontId="28" fillId="4" borderId="26" xfId="35" applyNumberFormat="1" applyFont="1" applyFill="1" applyBorder="1" applyAlignment="1">
      <alignment horizontal="left" vertical="center" indent="3"/>
    </xf>
    <xf numFmtId="49" fontId="27" fillId="3" borderId="33" xfId="35" applyNumberFormat="1" applyFont="1" applyFill="1" applyBorder="1" applyAlignment="1">
      <alignment horizontal="left" vertical="center" indent="2"/>
    </xf>
    <xf numFmtId="0" fontId="27" fillId="3" borderId="14" xfId="35" applyFont="1" applyFill="1" applyBorder="1" applyAlignment="1">
      <alignment horizontal="center" vertical="center"/>
    </xf>
    <xf numFmtId="0" fontId="28" fillId="4" borderId="19" xfId="35" applyFont="1" applyFill="1" applyBorder="1" applyAlignment="1">
      <alignment horizontal="center" vertical="center"/>
    </xf>
    <xf numFmtId="0" fontId="27" fillId="3" borderId="0" xfId="33" applyFont="1" applyFill="1" applyAlignment="1">
      <alignment horizontal="left" vertical="center" indent="2"/>
    </xf>
    <xf numFmtId="49" fontId="27" fillId="3" borderId="50" xfId="35" applyNumberFormat="1" applyFont="1" applyFill="1" applyBorder="1" applyAlignment="1">
      <alignment horizontal="center" vertical="center"/>
    </xf>
    <xf numFmtId="49" fontId="28" fillId="4" borderId="26" xfId="34" applyNumberFormat="1" applyFont="1" applyFill="1" applyBorder="1" applyAlignment="1">
      <alignment horizontal="left" vertical="center" indent="3"/>
    </xf>
    <xf numFmtId="49" fontId="27" fillId="3" borderId="33" xfId="34" applyNumberFormat="1" applyFont="1" applyFill="1" applyBorder="1" applyAlignment="1">
      <alignment horizontal="left" vertical="center" indent="2"/>
    </xf>
    <xf numFmtId="49" fontId="25" fillId="0" borderId="25" xfId="34" applyNumberFormat="1" applyFont="1" applyBorder="1" applyAlignment="1">
      <alignment horizontal="left" vertical="center" indent="2"/>
    </xf>
    <xf numFmtId="0" fontId="25" fillId="0" borderId="7" xfId="34" applyFont="1" applyBorder="1" applyAlignment="1">
      <alignment horizontal="center" vertical="center"/>
    </xf>
    <xf numFmtId="49" fontId="25" fillId="0" borderId="25" xfId="34" applyNumberFormat="1" applyFont="1" applyBorder="1" applyAlignment="1">
      <alignment horizontal="left" vertical="top" indent="2"/>
    </xf>
    <xf numFmtId="0" fontId="27" fillId="3" borderId="50" xfId="34" applyFont="1" applyFill="1" applyBorder="1" applyAlignment="1">
      <alignment horizontal="center" vertical="center"/>
    </xf>
    <xf numFmtId="0" fontId="29" fillId="0" borderId="0" xfId="33" applyFont="1"/>
    <xf numFmtId="0" fontId="25" fillId="0" borderId="36" xfId="33" applyFont="1" applyBorder="1" applyAlignment="1">
      <alignment horizontal="left" vertical="top" indent="2"/>
    </xf>
    <xf numFmtId="0" fontId="27" fillId="3" borderId="37" xfId="34" applyFont="1" applyFill="1" applyBorder="1" applyAlignment="1">
      <alignment horizontal="center" vertical="center"/>
    </xf>
    <xf numFmtId="49" fontId="25" fillId="0" borderId="52" xfId="33" applyNumberFormat="1" applyFont="1" applyBorder="1" applyAlignment="1">
      <alignment horizontal="left" vertical="center" indent="2"/>
    </xf>
    <xf numFmtId="0" fontId="25" fillId="0" borderId="5" xfId="33" applyFont="1" applyBorder="1" applyAlignment="1">
      <alignment horizontal="center" vertical="center"/>
    </xf>
    <xf numFmtId="49" fontId="25" fillId="0" borderId="53" xfId="33" applyNumberFormat="1" applyFont="1" applyBorder="1" applyAlignment="1">
      <alignment horizontal="left" vertical="center" indent="2"/>
    </xf>
    <xf numFmtId="49" fontId="25" fillId="0" borderId="54" xfId="0" applyNumberFormat="1" applyFont="1" applyBorder="1" applyAlignment="1">
      <alignment horizontal="left" vertical="center" indent="2"/>
    </xf>
    <xf numFmtId="49" fontId="25" fillId="0" borderId="0" xfId="34" applyNumberFormat="1" applyFont="1" applyAlignment="1">
      <alignment horizontal="left" vertical="center" indent="2"/>
    </xf>
    <xf numFmtId="0" fontId="25" fillId="0" borderId="6" xfId="34" applyFont="1" applyBorder="1" applyAlignment="1">
      <alignment horizontal="center" vertical="center"/>
    </xf>
    <xf numFmtId="49" fontId="28" fillId="4" borderId="26" xfId="33" applyNumberFormat="1" applyFont="1" applyFill="1" applyBorder="1" applyAlignment="1">
      <alignment horizontal="left" vertical="center" wrapText="1" indent="3"/>
    </xf>
    <xf numFmtId="0" fontId="28" fillId="4" borderId="19" xfId="33" applyFont="1" applyFill="1" applyBorder="1" applyAlignment="1">
      <alignment horizontal="center" vertical="center"/>
    </xf>
    <xf numFmtId="49" fontId="27" fillId="2" borderId="52" xfId="33" applyNumberFormat="1" applyFont="1" applyFill="1" applyBorder="1" applyAlignment="1">
      <alignment horizontal="left" vertical="center" indent="1"/>
    </xf>
    <xf numFmtId="0" fontId="27" fillId="2" borderId="82" xfId="33" applyFont="1" applyFill="1" applyBorder="1" applyAlignment="1">
      <alignment horizontal="center" vertical="center"/>
    </xf>
    <xf numFmtId="49" fontId="27" fillId="3" borderId="53" xfId="33" applyNumberFormat="1" applyFont="1" applyFill="1" applyBorder="1" applyAlignment="1">
      <alignment horizontal="left" vertical="center" indent="2"/>
    </xf>
    <xf numFmtId="0" fontId="27" fillId="3" borderId="48" xfId="33" applyFont="1" applyFill="1" applyBorder="1" applyAlignment="1">
      <alignment horizontal="center" vertical="center"/>
    </xf>
    <xf numFmtId="38" fontId="26" fillId="0" borderId="0" xfId="33" applyNumberFormat="1" applyFont="1"/>
    <xf numFmtId="49" fontId="25" fillId="0" borderId="53" xfId="33" applyNumberFormat="1" applyFont="1" applyBorder="1" applyAlignment="1">
      <alignment horizontal="left" vertical="center" wrapText="1" indent="2"/>
    </xf>
    <xf numFmtId="0" fontId="25" fillId="0" borderId="41" xfId="33" applyFont="1" applyBorder="1" applyAlignment="1">
      <alignment horizontal="center" vertical="center"/>
    </xf>
    <xf numFmtId="49" fontId="25" fillId="0" borderId="44" xfId="33" applyNumberFormat="1" applyFont="1" applyBorder="1" applyAlignment="1">
      <alignment horizontal="left" vertical="center" wrapText="1" indent="2"/>
    </xf>
    <xf numFmtId="0" fontId="25" fillId="0" borderId="49" xfId="33" applyFont="1" applyBorder="1" applyAlignment="1">
      <alignment horizontal="center" vertical="center"/>
    </xf>
    <xf numFmtId="49" fontId="25" fillId="0" borderId="52" xfId="33" applyNumberFormat="1" applyFont="1" applyBorder="1" applyAlignment="1">
      <alignment horizontal="left" vertical="center" wrapText="1" indent="2"/>
    </xf>
    <xf numFmtId="0" fontId="25" fillId="0" borderId="62" xfId="33" applyFont="1" applyBorder="1" applyAlignment="1">
      <alignment horizontal="center" vertical="center"/>
    </xf>
    <xf numFmtId="49" fontId="28" fillId="4" borderId="28" xfId="46" applyNumberFormat="1" applyFont="1" applyFill="1" applyBorder="1" applyAlignment="1">
      <alignment horizontal="left" vertical="center" wrapText="1" indent="3"/>
    </xf>
    <xf numFmtId="3" fontId="28" fillId="0" borderId="14" xfId="0" applyNumberFormat="1" applyFont="1" applyBorder="1" applyAlignment="1">
      <alignment horizontal="left" vertical="top" indent="3"/>
    </xf>
    <xf numFmtId="38" fontId="29" fillId="3" borderId="37" xfId="46" applyNumberFormat="1" applyFont="1" applyFill="1" applyBorder="1" applyAlignment="1">
      <alignment horizontal="right"/>
    </xf>
    <xf numFmtId="3" fontId="28" fillId="0" borderId="0" xfId="0" applyNumberFormat="1" applyFont="1" applyAlignment="1">
      <alignment horizontal="left" vertical="top" wrapText="1" indent="3"/>
    </xf>
    <xf numFmtId="3" fontId="27" fillId="10" borderId="7" xfId="0" applyNumberFormat="1" applyFont="1" applyFill="1" applyBorder="1" applyAlignment="1">
      <alignment horizontal="left" vertical="center" wrapText="1"/>
    </xf>
    <xf numFmtId="3" fontId="27" fillId="10" borderId="7" xfId="0" applyNumberFormat="1" applyFont="1" applyFill="1" applyBorder="1" applyAlignment="1">
      <alignment vertical="center" wrapText="1"/>
    </xf>
    <xf numFmtId="49" fontId="27" fillId="2" borderId="7" xfId="33" applyNumberFormat="1" applyFont="1" applyFill="1" applyBorder="1" applyAlignment="1">
      <alignment horizontal="left" vertical="center" indent="1"/>
    </xf>
    <xf numFmtId="49" fontId="27" fillId="2" borderId="15" xfId="33" applyNumberFormat="1" applyFont="1" applyFill="1" applyBorder="1" applyAlignment="1">
      <alignment horizontal="center" vertical="center"/>
    </xf>
    <xf numFmtId="49" fontId="27" fillId="2" borderId="33" xfId="46" applyNumberFormat="1" applyFont="1" applyFill="1" applyBorder="1" applyAlignment="1">
      <alignment horizontal="left" vertical="center" indent="1"/>
    </xf>
    <xf numFmtId="0" fontId="27" fillId="2" borderId="14" xfId="46" applyFont="1" applyFill="1" applyBorder="1" applyAlignment="1">
      <alignment horizontal="center" vertical="center"/>
    </xf>
    <xf numFmtId="49" fontId="28" fillId="4" borderId="24" xfId="46" applyNumberFormat="1" applyFont="1" applyFill="1" applyBorder="1" applyAlignment="1">
      <alignment horizontal="left" vertical="center" indent="3"/>
    </xf>
    <xf numFmtId="0" fontId="28" fillId="4" borderId="10" xfId="0" applyFont="1" applyFill="1" applyBorder="1" applyAlignment="1">
      <alignment horizontal="center" vertical="center"/>
    </xf>
    <xf numFmtId="0" fontId="53" fillId="0" borderId="0" xfId="33" applyFont="1"/>
    <xf numFmtId="49" fontId="25" fillId="0" borderId="25" xfId="46" applyNumberFormat="1" applyFont="1" applyBorder="1" applyAlignment="1">
      <alignment horizontal="left" vertical="center" indent="2"/>
    </xf>
    <xf numFmtId="0" fontId="25" fillId="0" borderId="7" xfId="46" applyFont="1" applyBorder="1" applyAlignment="1">
      <alignment horizontal="center" vertical="center"/>
    </xf>
    <xf numFmtId="49" fontId="28" fillId="4" borderId="19" xfId="46" applyNumberFormat="1" applyFont="1" applyFill="1" applyBorder="1" applyAlignment="1">
      <alignment horizontal="left" vertical="center" indent="3"/>
    </xf>
    <xf numFmtId="0" fontId="28" fillId="4" borderId="19" xfId="46" applyFont="1" applyFill="1" applyBorder="1" applyAlignment="1">
      <alignment horizontal="center" vertical="center"/>
    </xf>
    <xf numFmtId="49" fontId="27" fillId="2" borderId="33" xfId="46" applyNumberFormat="1" applyFont="1" applyFill="1" applyBorder="1" applyAlignment="1">
      <alignment horizontal="left" vertical="center"/>
    </xf>
    <xf numFmtId="0" fontId="27" fillId="2" borderId="20" xfId="46" applyFont="1" applyFill="1" applyBorder="1" applyAlignment="1">
      <alignment horizontal="center" vertical="center"/>
    </xf>
    <xf numFmtId="0" fontId="28" fillId="3" borderId="7" xfId="33" applyFont="1" applyFill="1" applyBorder="1" applyAlignment="1">
      <alignment horizontal="left" vertical="center" indent="2"/>
    </xf>
    <xf numFmtId="0" fontId="27" fillId="3" borderId="14" xfId="44" applyFont="1" applyFill="1" applyBorder="1" applyAlignment="1">
      <alignment horizontal="center" vertical="center"/>
    </xf>
    <xf numFmtId="3" fontId="28" fillId="0" borderId="0" xfId="0" applyNumberFormat="1" applyFont="1" applyAlignment="1">
      <alignment horizontal="left" vertical="top" wrapText="1" indent="4"/>
    </xf>
    <xf numFmtId="49" fontId="27" fillId="10" borderId="7" xfId="46" applyNumberFormat="1" applyFont="1" applyFill="1" applyBorder="1" applyAlignment="1">
      <alignment horizontal="left" vertical="center"/>
    </xf>
    <xf numFmtId="49" fontId="27" fillId="2" borderId="3" xfId="46" applyNumberFormat="1" applyFont="1" applyFill="1" applyBorder="1" applyAlignment="1">
      <alignment horizontal="center" vertical="center"/>
    </xf>
    <xf numFmtId="49" fontId="27" fillId="3" borderId="33" xfId="46" applyNumberFormat="1" applyFont="1" applyFill="1" applyBorder="1" applyAlignment="1">
      <alignment horizontal="left" vertical="center" indent="2"/>
    </xf>
    <xf numFmtId="0" fontId="27" fillId="3" borderId="15" xfId="46" applyFont="1" applyFill="1" applyBorder="1" applyAlignment="1">
      <alignment horizontal="center" vertical="center"/>
    </xf>
    <xf numFmtId="49" fontId="27" fillId="2" borderId="33" xfId="45" applyNumberFormat="1" applyFont="1" applyFill="1" applyBorder="1" applyAlignment="1">
      <alignment horizontal="left" vertical="center" indent="1"/>
    </xf>
    <xf numFmtId="0" fontId="27" fillId="2" borderId="14" xfId="45" applyFont="1" applyFill="1" applyBorder="1" applyAlignment="1">
      <alignment horizontal="center" vertical="center"/>
    </xf>
    <xf numFmtId="49" fontId="28" fillId="4" borderId="19" xfId="45" applyNumberFormat="1" applyFont="1" applyFill="1" applyBorder="1" applyAlignment="1">
      <alignment horizontal="left" vertical="center" indent="4"/>
    </xf>
    <xf numFmtId="49" fontId="25" fillId="0" borderId="25" xfId="45" applyNumberFormat="1" applyFont="1" applyBorder="1" applyAlignment="1">
      <alignment horizontal="left" vertical="center" indent="3"/>
    </xf>
    <xf numFmtId="0" fontId="25" fillId="0" borderId="7" xfId="45" applyFont="1" applyBorder="1" applyAlignment="1">
      <alignment horizontal="center" vertical="center"/>
    </xf>
    <xf numFmtId="49" fontId="25" fillId="0" borderId="7" xfId="45" applyNumberFormat="1" applyFont="1" applyBorder="1" applyAlignment="1">
      <alignment horizontal="center" vertical="center"/>
    </xf>
    <xf numFmtId="49" fontId="25" fillId="0" borderId="25" xfId="45" applyNumberFormat="1" applyFont="1" applyBorder="1" applyAlignment="1">
      <alignment horizontal="left" vertical="center" wrapText="1" indent="3"/>
    </xf>
    <xf numFmtId="49" fontId="28" fillId="4" borderId="19" xfId="45" applyNumberFormat="1" applyFont="1" applyFill="1" applyBorder="1" applyAlignment="1">
      <alignment horizontal="left" vertical="center" indent="3"/>
    </xf>
    <xf numFmtId="38" fontId="29" fillId="3" borderId="12" xfId="45" applyNumberFormat="1" applyFont="1" applyFill="1" applyBorder="1" applyAlignment="1">
      <alignment horizontal="right"/>
    </xf>
    <xf numFmtId="0" fontId="27" fillId="2" borderId="20" xfId="45" applyFont="1" applyFill="1" applyBorder="1" applyAlignment="1">
      <alignment horizontal="center" vertical="center"/>
    </xf>
    <xf numFmtId="38" fontId="29" fillId="11" borderId="15" xfId="45" applyNumberFormat="1" applyFont="1" applyFill="1" applyBorder="1" applyAlignment="1">
      <alignment horizontal="right"/>
    </xf>
    <xf numFmtId="38" fontId="29" fillId="11" borderId="33" xfId="45" applyNumberFormat="1" applyFont="1" applyFill="1" applyBorder="1" applyAlignment="1">
      <alignment horizontal="right"/>
    </xf>
    <xf numFmtId="49" fontId="27" fillId="3" borderId="25" xfId="45" applyNumberFormat="1" applyFont="1" applyFill="1" applyBorder="1" applyAlignment="1">
      <alignment horizontal="left" vertical="center" indent="3"/>
    </xf>
    <xf numFmtId="0" fontId="27" fillId="3" borderId="16" xfId="45" applyFont="1" applyFill="1" applyBorder="1" applyAlignment="1">
      <alignment horizontal="center" vertical="center"/>
    </xf>
    <xf numFmtId="49" fontId="25" fillId="0" borderId="25" xfId="45" applyNumberFormat="1" applyFont="1" applyBorder="1" applyAlignment="1">
      <alignment horizontal="left" vertical="center" indent="2"/>
    </xf>
    <xf numFmtId="49" fontId="27" fillId="2" borderId="25" xfId="45" applyNumberFormat="1" applyFont="1" applyFill="1" applyBorder="1" applyAlignment="1">
      <alignment horizontal="left" vertical="center" indent="1"/>
    </xf>
    <xf numFmtId="0" fontId="27" fillId="2" borderId="15" xfId="45" applyFont="1" applyFill="1" applyBorder="1" applyAlignment="1">
      <alignment horizontal="center" vertical="center"/>
    </xf>
    <xf numFmtId="38" fontId="29" fillId="11" borderId="7" xfId="45" applyNumberFormat="1" applyFont="1" applyFill="1" applyBorder="1" applyAlignment="1">
      <alignment horizontal="right"/>
    </xf>
    <xf numFmtId="49" fontId="27" fillId="2" borderId="14" xfId="45" applyNumberFormat="1" applyFont="1" applyFill="1" applyBorder="1" applyAlignment="1">
      <alignment horizontal="center" vertical="center"/>
    </xf>
    <xf numFmtId="49" fontId="28" fillId="4" borderId="19" xfId="44" applyNumberFormat="1" applyFont="1" applyFill="1" applyBorder="1" applyAlignment="1">
      <alignment horizontal="left" vertical="center" wrapText="1" indent="3"/>
    </xf>
    <xf numFmtId="49" fontId="27" fillId="3" borderId="33" xfId="44" applyNumberFormat="1" applyFont="1" applyFill="1" applyBorder="1" applyAlignment="1">
      <alignment horizontal="left" vertical="center" indent="2"/>
    </xf>
    <xf numFmtId="49" fontId="28" fillId="4" borderId="19" xfId="44" applyNumberFormat="1" applyFont="1" applyFill="1" applyBorder="1" applyAlignment="1">
      <alignment horizontal="left" vertical="center" indent="3"/>
    </xf>
    <xf numFmtId="0" fontId="28" fillId="4" borderId="19" xfId="44" applyFont="1" applyFill="1" applyBorder="1" applyAlignment="1">
      <alignment horizontal="center" vertical="center"/>
    </xf>
    <xf numFmtId="49" fontId="25" fillId="0" borderId="25" xfId="44" applyNumberFormat="1" applyFont="1" applyBorder="1" applyAlignment="1">
      <alignment horizontal="left" vertical="center" indent="2"/>
    </xf>
    <xf numFmtId="0" fontId="25" fillId="0" borderId="7" xfId="44" applyFont="1" applyBorder="1" applyAlignment="1">
      <alignment horizontal="center" vertical="center"/>
    </xf>
    <xf numFmtId="0" fontId="25" fillId="0" borderId="25" xfId="44" applyFont="1" applyBorder="1" applyAlignment="1">
      <alignment horizontal="left" vertical="center" indent="2"/>
    </xf>
    <xf numFmtId="0" fontId="27" fillId="3" borderId="33" xfId="44" applyFont="1" applyFill="1" applyBorder="1" applyAlignment="1">
      <alignment horizontal="left" vertical="center" indent="2"/>
    </xf>
    <xf numFmtId="49" fontId="25" fillId="0" borderId="25" xfId="43" applyNumberFormat="1" applyFont="1" applyBorder="1" applyAlignment="1">
      <alignment horizontal="left" vertical="center" indent="2"/>
    </xf>
    <xf numFmtId="0" fontId="25" fillId="0" borderId="7" xfId="43" applyFont="1" applyBorder="1" applyAlignment="1">
      <alignment horizontal="center" vertical="center"/>
    </xf>
    <xf numFmtId="49" fontId="25" fillId="0" borderId="7" xfId="44" applyNumberFormat="1" applyFont="1" applyBorder="1" applyAlignment="1">
      <alignment horizontal="center" vertical="center"/>
    </xf>
    <xf numFmtId="49" fontId="28" fillId="4" borderId="19" xfId="43" applyNumberFormat="1" applyFont="1" applyFill="1" applyBorder="1" applyAlignment="1">
      <alignment horizontal="left" vertical="center" indent="3"/>
    </xf>
    <xf numFmtId="49" fontId="27" fillId="3" borderId="33" xfId="43" applyNumberFormat="1" applyFont="1" applyFill="1" applyBorder="1" applyAlignment="1">
      <alignment horizontal="left" vertical="center" indent="2"/>
    </xf>
    <xf numFmtId="0" fontId="27" fillId="3" borderId="14" xfId="43" applyFont="1" applyFill="1" applyBorder="1" applyAlignment="1">
      <alignment horizontal="center" vertical="center"/>
    </xf>
    <xf numFmtId="38" fontId="29" fillId="3" borderId="3" xfId="43" applyNumberFormat="1" applyFont="1" applyFill="1" applyBorder="1" applyAlignment="1">
      <alignment horizontal="right"/>
    </xf>
    <xf numFmtId="49" fontId="25" fillId="0" borderId="4" xfId="43" applyNumberFormat="1" applyFont="1" applyBorder="1" applyAlignment="1">
      <alignment horizontal="left" vertical="center" indent="2"/>
    </xf>
    <xf numFmtId="0" fontId="25" fillId="0" borderId="2" xfId="43" applyFont="1" applyBorder="1" applyAlignment="1">
      <alignment horizontal="center" vertical="center"/>
    </xf>
    <xf numFmtId="49" fontId="28" fillId="4" borderId="28" xfId="43" applyNumberFormat="1" applyFont="1" applyFill="1" applyBorder="1" applyAlignment="1">
      <alignment horizontal="left" vertical="center" indent="3"/>
    </xf>
    <xf numFmtId="38" fontId="29" fillId="3" borderId="20" xfId="43" applyNumberFormat="1" applyFont="1" applyFill="1" applyBorder="1" applyAlignment="1">
      <alignment horizontal="right"/>
    </xf>
    <xf numFmtId="0" fontId="25" fillId="0" borderId="25" xfId="43" applyFont="1" applyBorder="1" applyAlignment="1">
      <alignment horizontal="left" vertical="center" indent="2"/>
    </xf>
    <xf numFmtId="49" fontId="25" fillId="0" borderId="16" xfId="43" applyNumberFormat="1" applyFont="1" applyBorder="1" applyAlignment="1">
      <alignment horizontal="left" vertical="center" indent="2"/>
    </xf>
    <xf numFmtId="49" fontId="28" fillId="4" borderId="28" xfId="42" applyNumberFormat="1" applyFont="1" applyFill="1" applyBorder="1" applyAlignment="1">
      <alignment horizontal="left" vertical="center" indent="3"/>
    </xf>
    <xf numFmtId="49" fontId="27" fillId="3" borderId="14" xfId="0" applyNumberFormat="1" applyFont="1" applyFill="1" applyBorder="1" applyAlignment="1">
      <alignment horizontal="center" vertical="center"/>
    </xf>
    <xf numFmtId="49" fontId="25" fillId="0" borderId="25" xfId="42" applyNumberFormat="1" applyFont="1" applyBorder="1" applyAlignment="1">
      <alignment horizontal="left" vertical="center" indent="2"/>
    </xf>
    <xf numFmtId="0" fontId="25" fillId="0" borderId="7" xfId="42" applyFont="1" applyBorder="1" applyAlignment="1">
      <alignment horizontal="center" vertical="center"/>
    </xf>
    <xf numFmtId="49" fontId="27" fillId="2" borderId="33" xfId="42" applyNumberFormat="1" applyFont="1" applyFill="1" applyBorder="1" applyAlignment="1">
      <alignment horizontal="left" vertical="center" indent="1"/>
    </xf>
    <xf numFmtId="0" fontId="27" fillId="2" borderId="21" xfId="42" applyFont="1" applyFill="1" applyBorder="1" applyAlignment="1">
      <alignment horizontal="center" vertical="center"/>
    </xf>
    <xf numFmtId="49" fontId="27" fillId="3" borderId="25" xfId="42" applyNumberFormat="1" applyFont="1" applyFill="1" applyBorder="1" applyAlignment="1">
      <alignment horizontal="left" vertical="center" indent="2"/>
    </xf>
    <xf numFmtId="0" fontId="27" fillId="3" borderId="16" xfId="42" applyFont="1" applyFill="1" applyBorder="1" applyAlignment="1">
      <alignment horizontal="center" vertical="center"/>
    </xf>
    <xf numFmtId="49" fontId="25" fillId="0" borderId="25" xfId="42" applyNumberFormat="1" applyFont="1" applyBorder="1" applyAlignment="1">
      <alignment horizontal="left" vertical="center" wrapText="1" indent="2"/>
    </xf>
    <xf numFmtId="49" fontId="28" fillId="0" borderId="21" xfId="41" applyNumberFormat="1" applyFont="1" applyBorder="1" applyAlignment="1">
      <alignment horizontal="left" vertical="center" indent="3"/>
    </xf>
    <xf numFmtId="49" fontId="28" fillId="0" borderId="0" xfId="41" applyNumberFormat="1" applyFont="1" applyAlignment="1">
      <alignment horizontal="left" vertical="top" wrapText="1" indent="3"/>
    </xf>
    <xf numFmtId="49" fontId="27" fillId="10" borderId="7" xfId="42" applyNumberFormat="1" applyFont="1" applyFill="1" applyBorder="1" applyAlignment="1">
      <alignment horizontal="left" vertical="center"/>
    </xf>
    <xf numFmtId="49" fontId="29" fillId="10" borderId="25" xfId="0" applyNumberFormat="1" applyFont="1" applyFill="1" applyBorder="1" applyAlignment="1">
      <alignment vertical="center"/>
    </xf>
    <xf numFmtId="38" fontId="29" fillId="10" borderId="7" xfId="42" applyNumberFormat="1" applyFont="1" applyFill="1" applyBorder="1" applyAlignment="1">
      <alignment horizontal="right"/>
    </xf>
    <xf numFmtId="49" fontId="27" fillId="2" borderId="3" xfId="42" applyNumberFormat="1" applyFont="1" applyFill="1" applyBorder="1" applyAlignment="1">
      <alignment horizontal="center" vertical="center"/>
    </xf>
    <xf numFmtId="49" fontId="27" fillId="2" borderId="33" xfId="41" applyNumberFormat="1" applyFont="1" applyFill="1" applyBorder="1" applyAlignment="1">
      <alignment horizontal="left" vertical="center" indent="1"/>
    </xf>
    <xf numFmtId="0" fontId="27" fillId="2" borderId="14" xfId="41" applyFont="1" applyFill="1" applyBorder="1" applyAlignment="1">
      <alignment horizontal="center" vertical="center"/>
    </xf>
    <xf numFmtId="49" fontId="28" fillId="4" borderId="26" xfId="41" applyNumberFormat="1" applyFont="1" applyFill="1" applyBorder="1" applyAlignment="1">
      <alignment horizontal="left" vertical="center" indent="3"/>
    </xf>
    <xf numFmtId="49" fontId="27" fillId="3" borderId="55" xfId="38" applyNumberFormat="1" applyFont="1" applyFill="1" applyBorder="1" applyAlignment="1">
      <alignment horizontal="left" vertical="center" wrapText="1" indent="2"/>
    </xf>
    <xf numFmtId="0" fontId="27" fillId="3" borderId="20" xfId="0" applyFont="1" applyFill="1" applyBorder="1" applyAlignment="1">
      <alignment horizontal="center" vertical="center" wrapText="1"/>
    </xf>
    <xf numFmtId="49" fontId="27" fillId="3" borderId="33" xfId="38" applyNumberFormat="1" applyFont="1" applyFill="1" applyBorder="1" applyAlignment="1">
      <alignment horizontal="left" vertical="center" wrapText="1" indent="2"/>
    </xf>
    <xf numFmtId="49" fontId="27" fillId="3" borderId="0" xfId="38" applyNumberFormat="1" applyFont="1" applyFill="1" applyAlignment="1">
      <alignment horizontal="left" vertical="center" wrapText="1" indent="2"/>
    </xf>
    <xf numFmtId="49" fontId="28" fillId="4" borderId="28" xfId="38" applyNumberFormat="1" applyFont="1" applyFill="1" applyBorder="1" applyAlignment="1">
      <alignment horizontal="left" vertical="center" wrapText="1" indent="3"/>
    </xf>
    <xf numFmtId="49" fontId="25" fillId="0" borderId="25" xfId="41" applyNumberFormat="1" applyFont="1" applyBorder="1" applyAlignment="1">
      <alignment horizontal="left" vertical="center" indent="2"/>
    </xf>
    <xf numFmtId="49" fontId="25" fillId="0" borderId="7" xfId="41" applyNumberFormat="1" applyFont="1" applyBorder="1" applyAlignment="1">
      <alignment horizontal="center" vertical="center"/>
    </xf>
    <xf numFmtId="0" fontId="25" fillId="0" borderId="7" xfId="41" applyFont="1" applyBorder="1" applyAlignment="1">
      <alignment horizontal="center" vertical="center"/>
    </xf>
    <xf numFmtId="49" fontId="25" fillId="0" borderId="25" xfId="41" applyNumberFormat="1" applyFont="1" applyBorder="1" applyAlignment="1">
      <alignment horizontal="left" vertical="center" wrapText="1" indent="2"/>
    </xf>
    <xf numFmtId="0" fontId="28" fillId="4" borderId="28" xfId="0" applyFont="1" applyFill="1" applyBorder="1" applyAlignment="1">
      <alignment horizontal="left" vertical="center" wrapText="1" indent="3"/>
    </xf>
    <xf numFmtId="0" fontId="28" fillId="4" borderId="39" xfId="0" applyFont="1" applyFill="1" applyBorder="1" applyAlignment="1">
      <alignment horizontal="center" vertical="center" wrapText="1"/>
    </xf>
    <xf numFmtId="0" fontId="27" fillId="2" borderId="33" xfId="33" applyFont="1" applyFill="1" applyBorder="1" applyAlignment="1">
      <alignment horizontal="left" vertical="center" indent="1"/>
    </xf>
    <xf numFmtId="0" fontId="28" fillId="2" borderId="20" xfId="0" applyFont="1" applyFill="1" applyBorder="1" applyAlignment="1">
      <alignment horizontal="center" vertical="center"/>
    </xf>
    <xf numFmtId="49" fontId="27" fillId="3" borderId="25" xfId="41" applyNumberFormat="1" applyFont="1" applyFill="1" applyBorder="1" applyAlignment="1">
      <alignment horizontal="left" vertical="center" indent="2"/>
    </xf>
    <xf numFmtId="49" fontId="27" fillId="3" borderId="7" xfId="41" applyNumberFormat="1" applyFont="1" applyFill="1" applyBorder="1" applyAlignment="1">
      <alignment horizontal="center" vertical="center"/>
    </xf>
    <xf numFmtId="49" fontId="27" fillId="3" borderId="37" xfId="40" applyNumberFormat="1" applyFont="1" applyFill="1" applyBorder="1" applyAlignment="1">
      <alignment horizontal="left" vertical="center" wrapText="1" indent="2"/>
    </xf>
    <xf numFmtId="0" fontId="27" fillId="3" borderId="33" xfId="40" applyFont="1" applyFill="1" applyBorder="1" applyAlignment="1">
      <alignment horizontal="center" vertical="center"/>
    </xf>
    <xf numFmtId="49" fontId="28" fillId="4" borderId="28" xfId="40" applyNumberFormat="1" applyFont="1" applyFill="1" applyBorder="1" applyAlignment="1">
      <alignment horizontal="left" vertical="center" wrapText="1" indent="3"/>
    </xf>
    <xf numFmtId="0" fontId="28" fillId="4" borderId="19" xfId="40" applyFont="1" applyFill="1" applyBorder="1" applyAlignment="1">
      <alignment horizontal="center" vertical="center" wrapText="1"/>
    </xf>
    <xf numFmtId="49" fontId="25" fillId="0" borderId="25" xfId="40" applyNumberFormat="1" applyFont="1" applyBorder="1" applyAlignment="1">
      <alignment horizontal="left" vertical="center" indent="2"/>
    </xf>
    <xf numFmtId="0" fontId="25" fillId="0" borderId="7" xfId="40" applyFont="1" applyBorder="1" applyAlignment="1">
      <alignment horizontal="center" vertical="center"/>
    </xf>
    <xf numFmtId="49" fontId="25" fillId="0" borderId="0" xfId="40" applyNumberFormat="1" applyFont="1" applyAlignment="1">
      <alignment horizontal="left" vertical="top" wrapText="1" indent="2"/>
    </xf>
    <xf numFmtId="49" fontId="27" fillId="2" borderId="25" xfId="40" applyNumberFormat="1" applyFont="1" applyFill="1" applyBorder="1" applyAlignment="1">
      <alignment horizontal="left" vertical="center" indent="1"/>
    </xf>
    <xf numFmtId="0" fontId="27" fillId="2" borderId="7" xfId="40" applyFont="1" applyFill="1" applyBorder="1" applyAlignment="1">
      <alignment horizontal="center" vertical="center"/>
    </xf>
    <xf numFmtId="0" fontId="27" fillId="3" borderId="7" xfId="33" applyFont="1" applyFill="1" applyBorder="1" applyAlignment="1">
      <alignment horizontal="left" vertical="center" indent="2"/>
    </xf>
    <xf numFmtId="0" fontId="27" fillId="3" borderId="7" xfId="40" applyFont="1" applyFill="1" applyBorder="1" applyAlignment="1">
      <alignment horizontal="center" vertical="center"/>
    </xf>
    <xf numFmtId="49" fontId="27" fillId="2" borderId="33" xfId="40" applyNumberFormat="1" applyFont="1" applyFill="1" applyBorder="1" applyAlignment="1">
      <alignment horizontal="left" vertical="center" indent="1"/>
    </xf>
    <xf numFmtId="0" fontId="27" fillId="2" borderId="14" xfId="40" applyFont="1" applyFill="1" applyBorder="1" applyAlignment="1">
      <alignment horizontal="center" vertical="center"/>
    </xf>
    <xf numFmtId="49" fontId="27" fillId="3" borderId="25" xfId="40" applyNumberFormat="1" applyFont="1" applyFill="1" applyBorder="1" applyAlignment="1">
      <alignment horizontal="left" vertical="center" indent="1"/>
    </xf>
    <xf numFmtId="0" fontId="29" fillId="3" borderId="16" xfId="40" applyFont="1" applyFill="1" applyBorder="1" applyAlignment="1">
      <alignment horizontal="center" vertical="center"/>
    </xf>
    <xf numFmtId="49" fontId="28" fillId="4" borderId="28" xfId="39" applyNumberFormat="1" applyFont="1" applyFill="1" applyBorder="1" applyAlignment="1">
      <alignment horizontal="left" vertical="center" wrapText="1" indent="3"/>
    </xf>
    <xf numFmtId="49" fontId="28" fillId="0" borderId="0" xfId="39" applyNumberFormat="1" applyFont="1" applyAlignment="1">
      <alignment horizontal="left" vertical="top" wrapText="1" indent="4"/>
    </xf>
    <xf numFmtId="49" fontId="27" fillId="10" borderId="7" xfId="40" applyNumberFormat="1" applyFont="1" applyFill="1" applyBorder="1" applyAlignment="1">
      <alignment horizontal="left" vertical="center"/>
    </xf>
    <xf numFmtId="49" fontId="27" fillId="10" borderId="25" xfId="40" applyNumberFormat="1" applyFont="1" applyFill="1" applyBorder="1" applyAlignment="1">
      <alignment horizontal="left" vertical="center"/>
    </xf>
    <xf numFmtId="38" fontId="29" fillId="10" borderId="7" xfId="40" applyNumberFormat="1" applyFont="1" applyFill="1" applyBorder="1" applyAlignment="1">
      <alignment horizontal="right"/>
    </xf>
    <xf numFmtId="49" fontId="27" fillId="2" borderId="14" xfId="40" applyNumberFormat="1" applyFont="1" applyFill="1" applyBorder="1" applyAlignment="1">
      <alignment horizontal="center" vertical="center"/>
    </xf>
    <xf numFmtId="49" fontId="27" fillId="3" borderId="33" xfId="40" applyNumberFormat="1" applyFont="1" applyFill="1" applyBorder="1" applyAlignment="1">
      <alignment horizontal="left" vertical="center" indent="1"/>
    </xf>
    <xf numFmtId="49" fontId="27" fillId="3" borderId="16" xfId="40" applyNumberFormat="1" applyFont="1" applyFill="1" applyBorder="1" applyAlignment="1">
      <alignment horizontal="center" vertical="center"/>
    </xf>
    <xf numFmtId="49" fontId="27" fillId="2" borderId="33" xfId="39" applyNumberFormat="1" applyFont="1" applyFill="1" applyBorder="1" applyAlignment="1">
      <alignment horizontal="left" vertical="center" indent="1"/>
    </xf>
    <xf numFmtId="0" fontId="27" fillId="2" borderId="14" xfId="39" applyFont="1" applyFill="1" applyBorder="1" applyAlignment="1">
      <alignment horizontal="center" vertical="center"/>
    </xf>
    <xf numFmtId="49" fontId="28" fillId="4" borderId="28" xfId="39" applyNumberFormat="1" applyFont="1" applyFill="1" applyBorder="1" applyAlignment="1">
      <alignment horizontal="left" vertical="center" indent="3"/>
    </xf>
    <xf numFmtId="49" fontId="28" fillId="3" borderId="25" xfId="39" applyNumberFormat="1" applyFont="1" applyFill="1" applyBorder="1" applyAlignment="1">
      <alignment horizontal="left" vertical="center" wrapText="1" indent="2"/>
    </xf>
    <xf numFmtId="49" fontId="27" fillId="3" borderId="33" xfId="39" applyNumberFormat="1" applyFont="1" applyFill="1" applyBorder="1" applyAlignment="1">
      <alignment horizontal="left" vertical="center" indent="2"/>
    </xf>
    <xf numFmtId="0" fontId="27" fillId="3" borderId="14" xfId="39" applyFont="1" applyFill="1" applyBorder="1" applyAlignment="1">
      <alignment horizontal="center" vertical="center"/>
    </xf>
    <xf numFmtId="0" fontId="28" fillId="3" borderId="7" xfId="39" applyFont="1" applyFill="1" applyBorder="1" applyAlignment="1">
      <alignment horizontal="center" vertical="center"/>
    </xf>
    <xf numFmtId="49" fontId="28" fillId="4" borderId="19" xfId="39" applyNumberFormat="1" applyFont="1" applyFill="1" applyBorder="1" applyAlignment="1">
      <alignment horizontal="left" vertical="center" indent="3"/>
    </xf>
    <xf numFmtId="49" fontId="25" fillId="0" borderId="25" xfId="39" applyNumberFormat="1" applyFont="1" applyBorder="1" applyAlignment="1">
      <alignment horizontal="left" vertical="center" indent="2"/>
    </xf>
    <xf numFmtId="0" fontId="25" fillId="0" borderId="7" xfId="39" applyFont="1" applyBorder="1" applyAlignment="1">
      <alignment horizontal="center" vertical="center"/>
    </xf>
    <xf numFmtId="49" fontId="25" fillId="0" borderId="25" xfId="39" applyNumberFormat="1" applyFont="1" applyBorder="1" applyAlignment="1">
      <alignment horizontal="left" vertical="center" wrapText="1" indent="2"/>
    </xf>
    <xf numFmtId="0" fontId="28" fillId="9" borderId="19" xfId="33" applyFont="1" applyFill="1" applyBorder="1" applyAlignment="1">
      <alignment horizontal="left" vertical="center" indent="3"/>
    </xf>
    <xf numFmtId="49" fontId="28" fillId="9" borderId="19" xfId="39" applyNumberFormat="1" applyFont="1" applyFill="1" applyBorder="1" applyAlignment="1">
      <alignment horizontal="center" vertical="center"/>
    </xf>
    <xf numFmtId="0" fontId="27" fillId="2" borderId="3" xfId="39" applyFont="1" applyFill="1" applyBorder="1" applyAlignment="1">
      <alignment horizontal="center" vertical="center"/>
    </xf>
    <xf numFmtId="0" fontId="27" fillId="3" borderId="16" xfId="39" applyFont="1" applyFill="1" applyBorder="1" applyAlignment="1">
      <alignment horizontal="center" vertical="center"/>
    </xf>
    <xf numFmtId="0" fontId="25" fillId="0" borderId="33" xfId="33" applyFont="1" applyBorder="1" applyAlignment="1">
      <alignment horizontal="left" vertical="center" indent="2"/>
    </xf>
    <xf numFmtId="49" fontId="25" fillId="0" borderId="3" xfId="39" applyNumberFormat="1" applyFont="1" applyBorder="1" applyAlignment="1">
      <alignment horizontal="center" vertical="center"/>
    </xf>
    <xf numFmtId="0" fontId="25" fillId="0" borderId="0" xfId="33" applyFont="1" applyAlignment="1">
      <alignment horizontal="left" vertical="center" indent="2"/>
    </xf>
    <xf numFmtId="49" fontId="25" fillId="0" borderId="8" xfId="39" applyNumberFormat="1" applyFont="1" applyBorder="1" applyAlignment="1">
      <alignment horizontal="center" vertical="center"/>
    </xf>
    <xf numFmtId="0" fontId="30" fillId="4" borderId="39" xfId="0" applyFont="1" applyFill="1" applyBorder="1" applyAlignment="1">
      <alignment vertical="center" wrapText="1"/>
    </xf>
    <xf numFmtId="49" fontId="28" fillId="0" borderId="21" xfId="38" applyNumberFormat="1" applyFont="1" applyBorder="1" applyAlignment="1">
      <alignment horizontal="left" vertical="center" indent="3"/>
    </xf>
    <xf numFmtId="0" fontId="30" fillId="0" borderId="55" xfId="38" applyFont="1" applyBorder="1" applyAlignment="1">
      <alignment horizontal="center" vertical="center"/>
    </xf>
    <xf numFmtId="49" fontId="28" fillId="0" borderId="0" xfId="38" applyNumberFormat="1" applyFont="1" applyAlignment="1">
      <alignment horizontal="left" vertical="center" wrapText="1" indent="3"/>
    </xf>
    <xf numFmtId="0" fontId="30" fillId="0" borderId="0" xfId="38" applyFont="1" applyAlignment="1">
      <alignment horizontal="center" vertical="center"/>
    </xf>
    <xf numFmtId="49" fontId="27" fillId="10" borderId="7" xfId="39" applyNumberFormat="1" applyFont="1" applyFill="1" applyBorder="1" applyAlignment="1">
      <alignment horizontal="left" vertical="center"/>
    </xf>
    <xf numFmtId="49" fontId="27" fillId="10" borderId="25" xfId="39" applyNumberFormat="1" applyFont="1" applyFill="1" applyBorder="1" applyAlignment="1">
      <alignment horizontal="left" vertical="center"/>
    </xf>
    <xf numFmtId="0" fontId="27" fillId="2" borderId="14" xfId="33" applyFont="1" applyFill="1" applyBorder="1" applyAlignment="1">
      <alignment horizontal="left" vertical="center" indent="1"/>
    </xf>
    <xf numFmtId="49" fontId="27" fillId="2" borderId="3" xfId="39" applyNumberFormat="1" applyFont="1" applyFill="1" applyBorder="1" applyAlignment="1">
      <alignment horizontal="center" vertical="center"/>
    </xf>
    <xf numFmtId="0" fontId="27" fillId="14" borderId="33" xfId="33" applyFont="1" applyFill="1" applyBorder="1" applyAlignment="1">
      <alignment horizontal="left" vertical="center" indent="1"/>
    </xf>
    <xf numFmtId="49" fontId="27" fillId="14" borderId="3" xfId="39" applyNumberFormat="1" applyFont="1" applyFill="1" applyBorder="1" applyAlignment="1">
      <alignment horizontal="center" vertical="center"/>
    </xf>
    <xf numFmtId="49" fontId="27" fillId="2" borderId="33" xfId="38" applyNumberFormat="1" applyFont="1" applyFill="1" applyBorder="1" applyAlignment="1">
      <alignment horizontal="left" vertical="center" indent="1"/>
    </xf>
    <xf numFmtId="0" fontId="27" fillId="2" borderId="14" xfId="38" applyFont="1" applyFill="1" applyBorder="1" applyAlignment="1">
      <alignment horizontal="center" vertical="center"/>
    </xf>
    <xf numFmtId="49" fontId="28" fillId="4" borderId="47" xfId="38" applyNumberFormat="1" applyFont="1" applyFill="1" applyBorder="1" applyAlignment="1">
      <alignment horizontal="left" vertical="center" indent="3"/>
    </xf>
    <xf numFmtId="0" fontId="28" fillId="4" borderId="23" xfId="38" applyFont="1" applyFill="1" applyBorder="1" applyAlignment="1">
      <alignment horizontal="center" vertical="center"/>
    </xf>
    <xf numFmtId="49" fontId="27" fillId="3" borderId="25" xfId="38" applyNumberFormat="1" applyFont="1" applyFill="1" applyBorder="1" applyAlignment="1">
      <alignment horizontal="left" vertical="center" indent="2"/>
    </xf>
    <xf numFmtId="0" fontId="27" fillId="3" borderId="15" xfId="38" applyFont="1" applyFill="1" applyBorder="1" applyAlignment="1">
      <alignment horizontal="center" vertical="center"/>
    </xf>
    <xf numFmtId="49" fontId="28" fillId="4" borderId="28" xfId="38" applyNumberFormat="1" applyFont="1" applyFill="1" applyBorder="1" applyAlignment="1">
      <alignment horizontal="left" vertical="center" indent="3"/>
    </xf>
    <xf numFmtId="49" fontId="25" fillId="0" borderId="25" xfId="38" applyNumberFormat="1" applyFont="1" applyBorder="1" applyAlignment="1">
      <alignment horizontal="left" vertical="center" indent="2"/>
    </xf>
    <xf numFmtId="0" fontId="25" fillId="0" borderId="7" xfId="38" applyFont="1" applyBorder="1" applyAlignment="1">
      <alignment horizontal="center" vertical="center"/>
    </xf>
    <xf numFmtId="49" fontId="25" fillId="0" borderId="16" xfId="38" applyNumberFormat="1" applyFont="1" applyBorder="1" applyAlignment="1">
      <alignment horizontal="left" vertical="center" wrapText="1" indent="2"/>
    </xf>
    <xf numFmtId="49" fontId="25" fillId="0" borderId="16" xfId="38" applyNumberFormat="1" applyFont="1" applyBorder="1" applyAlignment="1">
      <alignment horizontal="left" vertical="center" indent="2"/>
    </xf>
    <xf numFmtId="49" fontId="28" fillId="4" borderId="10" xfId="38" applyNumberFormat="1" applyFont="1" applyFill="1" applyBorder="1" applyAlignment="1">
      <alignment horizontal="left" vertical="center" wrapText="1" indent="3"/>
    </xf>
    <xf numFmtId="0" fontId="27" fillId="2" borderId="20" xfId="38" applyFont="1" applyFill="1" applyBorder="1" applyAlignment="1">
      <alignment horizontal="center" vertical="center"/>
    </xf>
    <xf numFmtId="49" fontId="27" fillId="3" borderId="33" xfId="38" applyNumberFormat="1" applyFont="1" applyFill="1" applyBorder="1" applyAlignment="1">
      <alignment horizontal="left" vertical="center" indent="2"/>
    </xf>
    <xf numFmtId="0" fontId="27" fillId="3" borderId="37" xfId="38" applyFont="1" applyFill="1" applyBorder="1" applyAlignment="1">
      <alignment horizontal="center" vertical="center"/>
    </xf>
    <xf numFmtId="49" fontId="25" fillId="0" borderId="20" xfId="38" applyNumberFormat="1" applyFont="1" applyBorder="1" applyAlignment="1">
      <alignment horizontal="left" vertical="center" indent="2"/>
    </xf>
    <xf numFmtId="0" fontId="25" fillId="0" borderId="20" xfId="38" applyFont="1" applyBorder="1" applyAlignment="1">
      <alignment horizontal="center" vertical="center"/>
    </xf>
    <xf numFmtId="49" fontId="25" fillId="0" borderId="25" xfId="37" applyNumberFormat="1" applyFont="1" applyBorder="1" applyAlignment="1">
      <alignment horizontal="left" vertical="center" indent="2"/>
    </xf>
    <xf numFmtId="0" fontId="25" fillId="0" borderId="7" xfId="37" applyFont="1" applyBorder="1" applyAlignment="1">
      <alignment horizontal="center" vertical="center"/>
    </xf>
    <xf numFmtId="49" fontId="25" fillId="0" borderId="7" xfId="38" applyNumberFormat="1" applyFont="1" applyBorder="1" applyAlignment="1">
      <alignment horizontal="center" vertical="center"/>
    </xf>
    <xf numFmtId="49" fontId="25" fillId="0" borderId="25" xfId="38" applyNumberFormat="1" applyFont="1" applyBorder="1" applyAlignment="1">
      <alignment horizontal="left" vertical="top" indent="2"/>
    </xf>
    <xf numFmtId="49" fontId="27" fillId="2" borderId="25" xfId="37" applyNumberFormat="1" applyFont="1" applyFill="1" applyBorder="1" applyAlignment="1">
      <alignment horizontal="left" vertical="center" indent="1"/>
    </xf>
    <xf numFmtId="0" fontId="27" fillId="2" borderId="7" xfId="37" applyFont="1" applyFill="1" applyBorder="1" applyAlignment="1">
      <alignment horizontal="center" vertical="center"/>
    </xf>
    <xf numFmtId="49" fontId="27" fillId="3" borderId="25" xfId="37" applyNumberFormat="1" applyFont="1" applyFill="1" applyBorder="1" applyAlignment="1">
      <alignment horizontal="left" vertical="center" indent="2"/>
    </xf>
    <xf numFmtId="0" fontId="28" fillId="3" borderId="7" xfId="37" applyFont="1" applyFill="1" applyBorder="1" applyAlignment="1">
      <alignment horizontal="center" vertical="center"/>
    </xf>
    <xf numFmtId="49" fontId="27" fillId="2" borderId="33" xfId="37" applyNumberFormat="1" applyFont="1" applyFill="1" applyBorder="1" applyAlignment="1">
      <alignment horizontal="left" vertical="center" indent="1"/>
    </xf>
    <xf numFmtId="0" fontId="27" fillId="2" borderId="14" xfId="37" applyFont="1" applyFill="1" applyBorder="1" applyAlignment="1">
      <alignment horizontal="center" vertical="center"/>
    </xf>
    <xf numFmtId="49" fontId="28" fillId="4" borderId="19" xfId="36" applyNumberFormat="1" applyFont="1" applyFill="1" applyBorder="1" applyAlignment="1">
      <alignment horizontal="left" vertical="center" indent="3"/>
    </xf>
    <xf numFmtId="0" fontId="28" fillId="4" borderId="19" xfId="36" applyFont="1" applyFill="1" applyBorder="1" applyAlignment="1">
      <alignment horizontal="center" vertical="center"/>
    </xf>
    <xf numFmtId="49" fontId="29" fillId="3" borderId="33" xfId="37" applyNumberFormat="1" applyFont="1" applyFill="1" applyBorder="1" applyAlignment="1">
      <alignment horizontal="left" vertical="center" indent="2"/>
    </xf>
    <xf numFmtId="0" fontId="27" fillId="3" borderId="14" xfId="37" applyFont="1" applyFill="1" applyBorder="1" applyAlignment="1">
      <alignment horizontal="center" vertical="center"/>
    </xf>
    <xf numFmtId="49" fontId="28" fillId="4" borderId="28" xfId="37" applyNumberFormat="1" applyFont="1" applyFill="1" applyBorder="1" applyAlignment="1">
      <alignment horizontal="left" vertical="center" indent="3"/>
    </xf>
    <xf numFmtId="49" fontId="25" fillId="0" borderId="4" xfId="37" applyNumberFormat="1" applyFont="1" applyBorder="1" applyAlignment="1">
      <alignment horizontal="left" vertical="center" indent="2"/>
    </xf>
    <xf numFmtId="49" fontId="27" fillId="3" borderId="16"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8" fillId="0" borderId="21" xfId="36" applyNumberFormat="1" applyFont="1" applyBorder="1" applyAlignment="1">
      <alignment horizontal="left" vertical="center" wrapText="1" indent="2"/>
    </xf>
    <xf numFmtId="49" fontId="28" fillId="0" borderId="7" xfId="36" applyNumberFormat="1" applyFont="1" applyBorder="1" applyAlignment="1">
      <alignment horizontal="left" vertical="center" wrapText="1" indent="2"/>
    </xf>
    <xf numFmtId="49" fontId="28" fillId="0" borderId="0" xfId="36" applyNumberFormat="1" applyFont="1" applyAlignment="1">
      <alignment horizontal="left" vertical="center" wrapText="1" indent="3"/>
    </xf>
    <xf numFmtId="49" fontId="27" fillId="10" borderId="7" xfId="33" applyNumberFormat="1" applyFont="1" applyFill="1" applyBorder="1" applyAlignment="1">
      <alignment horizontal="left" vertical="center"/>
    </xf>
    <xf numFmtId="49" fontId="27" fillId="2" borderId="12" xfId="37" applyNumberFormat="1" applyFont="1" applyFill="1" applyBorder="1" applyAlignment="1">
      <alignment horizontal="left" vertical="center" indent="1"/>
    </xf>
    <xf numFmtId="49" fontId="27" fillId="2" borderId="3" xfId="37" applyNumberFormat="1" applyFont="1" applyFill="1" applyBorder="1" applyAlignment="1">
      <alignment horizontal="center" vertical="center"/>
    </xf>
    <xf numFmtId="49" fontId="27" fillId="2" borderId="37" xfId="36" applyNumberFormat="1" applyFont="1" applyFill="1" applyBorder="1" applyAlignment="1">
      <alignment horizontal="left" vertical="center" indent="1"/>
    </xf>
    <xf numFmtId="0" fontId="27" fillId="2" borderId="0" xfId="36" applyFont="1" applyFill="1" applyAlignment="1">
      <alignment horizontal="center" vertical="center"/>
    </xf>
    <xf numFmtId="49" fontId="27" fillId="3" borderId="0" xfId="36" applyNumberFormat="1" applyFont="1" applyFill="1" applyAlignment="1">
      <alignment horizontal="left" vertical="center" indent="2"/>
    </xf>
    <xf numFmtId="0" fontId="27" fillId="3" borderId="12" xfId="36" applyFont="1" applyFill="1" applyBorder="1" applyAlignment="1">
      <alignment horizontal="center" vertical="center"/>
    </xf>
    <xf numFmtId="49" fontId="25" fillId="0" borderId="25" xfId="36" applyNumberFormat="1" applyFont="1" applyBorder="1" applyAlignment="1">
      <alignment horizontal="left" vertical="center" wrapText="1" indent="2"/>
    </xf>
    <xf numFmtId="49" fontId="27" fillId="2" borderId="14" xfId="36" applyNumberFormat="1" applyFont="1" applyFill="1" applyBorder="1" applyAlignment="1">
      <alignment horizontal="left" vertical="center" indent="1"/>
    </xf>
    <xf numFmtId="0" fontId="27" fillId="2" borderId="20" xfId="36" applyFont="1" applyFill="1" applyBorder="1" applyAlignment="1">
      <alignment horizontal="center" vertical="center"/>
    </xf>
    <xf numFmtId="49" fontId="27" fillId="3" borderId="25" xfId="36" applyNumberFormat="1" applyFont="1" applyFill="1" applyBorder="1" applyAlignment="1">
      <alignment horizontal="left" vertical="center" indent="2"/>
    </xf>
    <xf numFmtId="49" fontId="25" fillId="0" borderId="4" xfId="34" applyNumberFormat="1" applyFont="1" applyBorder="1" applyAlignment="1">
      <alignment horizontal="left" vertical="center" indent="2"/>
    </xf>
    <xf numFmtId="0" fontId="25" fillId="0" borderId="38" xfId="34" applyFont="1" applyBorder="1" applyAlignment="1">
      <alignment horizontal="center" vertical="center" wrapText="1"/>
    </xf>
    <xf numFmtId="0" fontId="30" fillId="0" borderId="0" xfId="33" applyFont="1"/>
    <xf numFmtId="49" fontId="28" fillId="4" borderId="0" xfId="33" applyNumberFormat="1" applyFont="1" applyFill="1" applyAlignment="1">
      <alignment horizontal="left" vertical="center" wrapText="1" indent="3"/>
    </xf>
    <xf numFmtId="0" fontId="26" fillId="0" borderId="0" xfId="33" applyFont="1" applyAlignment="1">
      <alignment vertical="top" wrapText="1"/>
    </xf>
    <xf numFmtId="49" fontId="27" fillId="0" borderId="2" xfId="0" applyNumberFormat="1" applyFont="1" applyBorder="1" applyAlignment="1">
      <alignment horizontal="center"/>
    </xf>
    <xf numFmtId="49" fontId="27" fillId="0" borderId="2" xfId="33" applyNumberFormat="1" applyFont="1" applyBorder="1" applyAlignment="1">
      <alignment horizontal="center"/>
    </xf>
    <xf numFmtId="49" fontId="27" fillId="0" borderId="2" xfId="11" applyNumberFormat="1" applyFont="1" applyBorder="1" applyAlignment="1">
      <alignment horizontal="center"/>
    </xf>
    <xf numFmtId="49" fontId="27" fillId="0" borderId="8" xfId="5" applyNumberFormat="1" applyFont="1" applyBorder="1" applyAlignment="1">
      <alignment horizontal="center" vertical="center" wrapText="1"/>
    </xf>
    <xf numFmtId="0" fontId="27" fillId="3" borderId="16" xfId="35" applyFont="1" applyFill="1" applyBorder="1" applyAlignment="1">
      <alignment horizontal="center" vertical="center"/>
    </xf>
    <xf numFmtId="0" fontId="28" fillId="3" borderId="16" xfId="36" applyFont="1" applyFill="1" applyBorder="1" applyAlignment="1">
      <alignment horizontal="center" vertical="center"/>
    </xf>
    <xf numFmtId="38" fontId="29" fillId="4" borderId="10" xfId="0" applyNumberFormat="1" applyFont="1" applyFill="1" applyBorder="1" applyAlignment="1">
      <alignment vertical="center"/>
    </xf>
    <xf numFmtId="38" fontId="29" fillId="4" borderId="10" xfId="0" applyNumberFormat="1" applyFont="1" applyFill="1" applyBorder="1"/>
    <xf numFmtId="38" fontId="29" fillId="4" borderId="23" xfId="0" applyNumberFormat="1" applyFont="1" applyFill="1" applyBorder="1" applyAlignment="1">
      <alignment vertical="center"/>
    </xf>
    <xf numFmtId="38" fontId="29" fillId="4" borderId="23" xfId="0" applyNumberFormat="1" applyFont="1" applyFill="1" applyBorder="1"/>
    <xf numFmtId="38" fontId="30" fillId="0" borderId="0" xfId="0" applyNumberFormat="1" applyFont="1" applyAlignment="1">
      <alignment vertical="center"/>
    </xf>
    <xf numFmtId="0" fontId="27" fillId="2" borderId="7" xfId="0" applyFont="1" applyFill="1" applyBorder="1" applyAlignment="1">
      <alignment horizontal="left" vertical="center"/>
    </xf>
    <xf numFmtId="0" fontId="27" fillId="2" borderId="16" xfId="0" applyFont="1" applyFill="1" applyBorder="1" applyAlignment="1">
      <alignment vertical="center"/>
    </xf>
    <xf numFmtId="171" fontId="27" fillId="2" borderId="7" xfId="0" applyNumberFormat="1" applyFont="1" applyFill="1" applyBorder="1" applyAlignment="1">
      <alignment horizontal="left" vertical="center"/>
    </xf>
    <xf numFmtId="38" fontId="29" fillId="4"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9" fillId="3" borderId="8" xfId="0" applyNumberFormat="1" applyFont="1" applyFill="1" applyBorder="1" applyAlignment="1">
      <alignment vertical="center"/>
    </xf>
    <xf numFmtId="38" fontId="29" fillId="4" borderId="19" xfId="0" applyNumberFormat="1" applyFont="1" applyFill="1" applyBorder="1"/>
    <xf numFmtId="0" fontId="27" fillId="15" borderId="7" xfId="0" applyFont="1" applyFill="1" applyBorder="1" applyAlignment="1">
      <alignment horizontal="left" vertical="center"/>
    </xf>
    <xf numFmtId="0" fontId="38" fillId="15" borderId="16" xfId="0" applyFont="1" applyFill="1" applyBorder="1" applyAlignment="1">
      <alignment horizontal="left" vertical="center"/>
    </xf>
    <xf numFmtId="38" fontId="29" fillId="15" borderId="8" xfId="0" applyNumberFormat="1" applyFont="1" applyFill="1" applyBorder="1"/>
    <xf numFmtId="0" fontId="27" fillId="2" borderId="7" xfId="0" applyFont="1" applyFill="1" applyBorder="1" applyAlignment="1">
      <alignment vertical="center" wrapText="1"/>
    </xf>
    <xf numFmtId="0" fontId="28" fillId="2" borderId="15" xfId="0" applyFont="1" applyFill="1" applyBorder="1" applyAlignment="1">
      <alignment horizontal="center" vertical="center" wrapText="1"/>
    </xf>
    <xf numFmtId="0" fontId="27" fillId="15" borderId="14" xfId="0" applyFont="1" applyFill="1" applyBorder="1" applyAlignment="1">
      <alignment horizontal="left" vertical="center"/>
    </xf>
    <xf numFmtId="0" fontId="28" fillId="15" borderId="3" xfId="0" applyFont="1" applyFill="1" applyBorder="1" applyAlignment="1">
      <alignment horizontal="center" vertical="center" wrapText="1"/>
    </xf>
    <xf numFmtId="38" fontId="25" fillId="15" borderId="8" xfId="0" applyNumberFormat="1" applyFont="1" applyFill="1" applyBorder="1" applyAlignment="1">
      <alignment vertical="center"/>
    </xf>
    <xf numFmtId="38" fontId="29" fillId="15" borderId="8" xfId="0" applyNumberFormat="1" applyFont="1" applyFill="1" applyBorder="1" applyAlignment="1">
      <alignment vertical="center"/>
    </xf>
    <xf numFmtId="38" fontId="29" fillId="4" borderId="15" xfId="0" applyNumberFormat="1" applyFont="1" applyFill="1" applyBorder="1"/>
    <xf numFmtId="38" fontId="29" fillId="3" borderId="15" xfId="0" applyNumberFormat="1" applyFont="1" applyFill="1" applyBorder="1"/>
    <xf numFmtId="38" fontId="29" fillId="4" borderId="2" xfId="0" applyNumberFormat="1" applyFont="1" applyFill="1" applyBorder="1" applyAlignment="1">
      <alignment vertical="center"/>
    </xf>
    <xf numFmtId="0" fontId="56" fillId="0" borderId="33" xfId="0" applyFont="1" applyBorder="1" applyAlignment="1">
      <alignment horizontal="left" indent="1"/>
    </xf>
    <xf numFmtId="0" fontId="30" fillId="0" borderId="37" xfId="0" applyFont="1" applyBorder="1" applyAlignment="1">
      <alignment horizontal="center" vertical="center"/>
    </xf>
    <xf numFmtId="0" fontId="30" fillId="13" borderId="0" xfId="0" applyFont="1" applyFill="1" applyAlignment="1">
      <alignment horizontal="center" vertical="center"/>
    </xf>
    <xf numFmtId="0" fontId="30" fillId="14" borderId="14" xfId="0" applyFont="1" applyFill="1" applyBorder="1" applyAlignment="1">
      <alignment horizontal="center" vertical="center"/>
    </xf>
    <xf numFmtId="0" fontId="30" fillId="14" borderId="33" xfId="0" applyFont="1" applyFill="1" applyBorder="1" applyAlignment="1">
      <alignment horizontal="center" vertical="center"/>
    </xf>
    <xf numFmtId="0" fontId="30" fillId="14" borderId="37" xfId="0" applyFont="1" applyFill="1" applyBorder="1" applyAlignment="1">
      <alignment horizontal="center" vertical="center"/>
    </xf>
    <xf numFmtId="0" fontId="30" fillId="13" borderId="33" xfId="0" applyFont="1" applyFill="1" applyBorder="1"/>
    <xf numFmtId="0" fontId="43" fillId="13" borderId="33" xfId="0" applyFont="1" applyFill="1" applyBorder="1" applyAlignment="1">
      <alignment horizontal="center" vertical="top"/>
    </xf>
    <xf numFmtId="0" fontId="30" fillId="13" borderId="37" xfId="0" applyFont="1" applyFill="1" applyBorder="1"/>
    <xf numFmtId="0" fontId="43" fillId="0" borderId="33" xfId="0" applyFont="1" applyBorder="1" applyAlignment="1">
      <alignment vertical="top"/>
    </xf>
    <xf numFmtId="0" fontId="30" fillId="0" borderId="37" xfId="0" applyFont="1" applyBorder="1" applyAlignment="1">
      <alignment vertical="center" wrapText="1"/>
    </xf>
    <xf numFmtId="0" fontId="27" fillId="0" borderId="15" xfId="0" applyFont="1" applyBorder="1" applyAlignment="1">
      <alignment horizontal="center" vertical="center" wrapText="1"/>
    </xf>
    <xf numFmtId="0" fontId="28" fillId="15" borderId="15" xfId="0" applyFont="1" applyFill="1" applyBorder="1" applyAlignment="1">
      <alignment horizontal="center" vertical="center" wrapText="1"/>
    </xf>
    <xf numFmtId="38" fontId="28" fillId="15" borderId="15" xfId="0" applyNumberFormat="1" applyFont="1" applyFill="1" applyBorder="1" applyAlignment="1">
      <alignment vertical="center"/>
    </xf>
    <xf numFmtId="38" fontId="28" fillId="15" borderId="8" xfId="0" applyNumberFormat="1" applyFont="1" applyFill="1" applyBorder="1" applyAlignment="1">
      <alignment vertical="center"/>
    </xf>
    <xf numFmtId="167" fontId="30" fillId="13" borderId="13" xfId="0" applyNumberFormat="1" applyFont="1" applyFill="1" applyBorder="1" applyAlignment="1">
      <alignment horizontal="left" vertical="center" indent="1"/>
    </xf>
    <xf numFmtId="0" fontId="43" fillId="0" borderId="0" xfId="0" applyFont="1" applyAlignment="1">
      <alignment horizontal="left" vertical="top"/>
    </xf>
    <xf numFmtId="0" fontId="38" fillId="0" borderId="13" xfId="0" applyFont="1" applyBorder="1"/>
    <xf numFmtId="0" fontId="30" fillId="13" borderId="0" xfId="0" applyFont="1" applyFill="1"/>
    <xf numFmtId="0" fontId="38" fillId="14" borderId="12" xfId="0" applyFont="1" applyFill="1" applyBorder="1" applyAlignment="1">
      <alignment horizontal="center" vertical="center"/>
    </xf>
    <xf numFmtId="0" fontId="38" fillId="14" borderId="0" xfId="0" applyFont="1" applyFill="1" applyAlignment="1">
      <alignment horizontal="center" vertical="center"/>
    </xf>
    <xf numFmtId="0" fontId="38" fillId="14" borderId="13" xfId="0" applyFont="1" applyFill="1" applyBorder="1" applyAlignment="1">
      <alignment horizontal="center" vertical="center"/>
    </xf>
    <xf numFmtId="0" fontId="38" fillId="13" borderId="0" xfId="0" applyFont="1" applyFill="1" applyAlignment="1">
      <alignment horizontal="center" vertical="center"/>
    </xf>
    <xf numFmtId="0" fontId="41" fillId="0" borderId="4" xfId="0" applyFont="1" applyBorder="1" applyAlignment="1">
      <alignment horizontal="left" indent="1"/>
    </xf>
    <xf numFmtId="0" fontId="25" fillId="0" borderId="36" xfId="0" applyFont="1" applyBorder="1" applyAlignment="1">
      <alignment vertical="top"/>
    </xf>
    <xf numFmtId="0" fontId="38" fillId="14" borderId="38" xfId="0" applyFont="1" applyFill="1" applyBorder="1" applyAlignment="1">
      <alignment horizontal="center" vertical="center"/>
    </xf>
    <xf numFmtId="0" fontId="38" fillId="14" borderId="4" xfId="0" applyFont="1" applyFill="1" applyBorder="1" applyAlignment="1">
      <alignment horizontal="center" vertical="center"/>
    </xf>
    <xf numFmtId="0" fontId="38" fillId="14" borderId="36" xfId="0" applyFont="1" applyFill="1" applyBorder="1" applyAlignment="1">
      <alignment horizontal="center" vertical="center"/>
    </xf>
    <xf numFmtId="0" fontId="38" fillId="13" borderId="4" xfId="0" applyFont="1" applyFill="1" applyBorder="1" applyAlignment="1">
      <alignment horizontal="center" vertical="center"/>
    </xf>
    <xf numFmtId="0" fontId="43" fillId="0" borderId="0" xfId="0" applyFont="1" applyAlignment="1">
      <alignment vertical="top"/>
    </xf>
    <xf numFmtId="0" fontId="25" fillId="0" borderId="13" xfId="0" applyFont="1" applyBorder="1" applyAlignment="1">
      <alignment vertical="top"/>
    </xf>
    <xf numFmtId="0" fontId="41" fillId="0" borderId="33" xfId="0" applyFont="1" applyBorder="1" applyAlignment="1">
      <alignment horizontal="left" indent="1"/>
    </xf>
    <xf numFmtId="0" fontId="38" fillId="0" borderId="37" xfId="0" applyFont="1" applyBorder="1"/>
    <xf numFmtId="169" fontId="38" fillId="0" borderId="99" xfId="0" applyNumberFormat="1" applyFont="1" applyBorder="1" applyAlignment="1" applyProtection="1">
      <alignment horizontal="center" vertical="center"/>
      <protection locked="0"/>
    </xf>
    <xf numFmtId="49" fontId="27" fillId="0" borderId="0" xfId="0" applyNumberFormat="1" applyFont="1" applyAlignment="1">
      <alignment horizontal="left" indent="2"/>
    </xf>
    <xf numFmtId="165" fontId="28" fillId="0" borderId="0" xfId="0" applyNumberFormat="1" applyFont="1"/>
    <xf numFmtId="38" fontId="30" fillId="0" borderId="0" xfId="0" applyNumberFormat="1" applyFont="1"/>
    <xf numFmtId="0" fontId="35" fillId="0" borderId="0" xfId="0" applyFont="1"/>
    <xf numFmtId="0" fontId="58" fillId="0" borderId="0" xfId="0" applyFont="1" applyAlignment="1">
      <alignment horizontal="center" vertical="center"/>
    </xf>
    <xf numFmtId="0" fontId="33" fillId="0" borderId="0" xfId="0" applyFont="1" applyAlignment="1">
      <alignment horizontal="center" vertical="center"/>
    </xf>
    <xf numFmtId="0" fontId="39" fillId="0" borderId="0" xfId="0" applyFont="1"/>
    <xf numFmtId="0" fontId="39" fillId="0" borderId="0" xfId="0" applyFont="1" applyAlignment="1">
      <alignment horizontal="center" vertical="center"/>
    </xf>
    <xf numFmtId="0" fontId="57" fillId="0" borderId="0" xfId="0" applyFont="1" applyAlignment="1">
      <alignment horizontal="center" vertical="center"/>
    </xf>
    <xf numFmtId="165" fontId="38" fillId="0" borderId="60" xfId="0" applyNumberFormat="1" applyFont="1" applyBorder="1" applyAlignment="1">
      <alignment horizontal="center" vertical="center"/>
    </xf>
    <xf numFmtId="0" fontId="41" fillId="0" borderId="60" xfId="0" applyFont="1" applyBorder="1" applyAlignment="1">
      <alignment horizontal="left" vertical="center"/>
    </xf>
    <xf numFmtId="0" fontId="43" fillId="0" borderId="0" xfId="0" applyFont="1" applyAlignment="1">
      <alignment horizontal="left" vertical="center" wrapText="1"/>
    </xf>
    <xf numFmtId="165" fontId="25" fillId="0" borderId="0" xfId="0" applyNumberFormat="1" applyFont="1"/>
    <xf numFmtId="0" fontId="47" fillId="0" borderId="33" xfId="1" applyFont="1" applyBorder="1" applyAlignment="1" applyProtection="1">
      <alignment horizontal="center" vertical="top"/>
    </xf>
    <xf numFmtId="165" fontId="25" fillId="0" borderId="49" xfId="0" applyNumberFormat="1" applyFont="1" applyBorder="1"/>
    <xf numFmtId="0" fontId="30" fillId="0" borderId="4" xfId="0" applyFont="1" applyBorder="1"/>
    <xf numFmtId="0" fontId="30" fillId="0" borderId="0" xfId="52" applyFont="1" applyAlignment="1">
      <alignment vertical="center"/>
    </xf>
    <xf numFmtId="0" fontId="30" fillId="0" borderId="78" xfId="52" applyFont="1" applyBorder="1" applyAlignment="1">
      <alignment vertical="center"/>
    </xf>
    <xf numFmtId="0" fontId="8" fillId="0" borderId="0" xfId="54"/>
    <xf numFmtId="0" fontId="30" fillId="0" borderId="0" xfId="52" applyFont="1" applyAlignment="1">
      <alignment horizontal="right" vertical="center"/>
    </xf>
    <xf numFmtId="0" fontId="30" fillId="0" borderId="77" xfId="52" applyFont="1" applyBorder="1" applyAlignment="1">
      <alignment vertical="center"/>
    </xf>
    <xf numFmtId="0" fontId="54" fillId="0" borderId="0" xfId="52" applyFont="1" applyAlignment="1">
      <alignment horizontal="center" vertical="center"/>
    </xf>
    <xf numFmtId="0" fontId="54" fillId="0" borderId="0" xfId="52" applyFont="1" applyAlignment="1">
      <alignment vertical="center" wrapText="1"/>
    </xf>
    <xf numFmtId="0" fontId="30" fillId="0" borderId="0" xfId="52" applyFont="1" applyAlignment="1">
      <alignment wrapText="1"/>
    </xf>
    <xf numFmtId="0" fontId="54" fillId="0" borderId="0" xfId="52" applyFont="1"/>
    <xf numFmtId="0" fontId="38" fillId="0" borderId="0" xfId="52" applyFont="1" applyAlignment="1">
      <alignment horizontal="right"/>
    </xf>
    <xf numFmtId="0" fontId="30" fillId="0" borderId="0" xfId="52" applyFont="1" applyAlignment="1">
      <alignment horizontal="center" wrapText="1"/>
    </xf>
    <xf numFmtId="0" fontId="56" fillId="0" borderId="0" xfId="52" applyFont="1" applyAlignment="1">
      <alignment vertical="center"/>
    </xf>
    <xf numFmtId="0" fontId="38" fillId="0" borderId="0" xfId="52" applyFont="1" applyAlignment="1">
      <alignment vertical="center"/>
    </xf>
    <xf numFmtId="0" fontId="38" fillId="0" borderId="0" xfId="52" applyFont="1" applyAlignment="1">
      <alignment horizontal="center" vertical="center"/>
    </xf>
    <xf numFmtId="0" fontId="71" fillId="0" borderId="77" xfId="0" applyFont="1" applyBorder="1" applyAlignment="1">
      <alignment vertical="center"/>
    </xf>
    <xf numFmtId="0" fontId="41" fillId="0" borderId="77" xfId="0" applyFont="1" applyBorder="1" applyAlignment="1">
      <alignment vertical="center"/>
    </xf>
    <xf numFmtId="0" fontId="70" fillId="0" borderId="0" xfId="52" applyFont="1" applyAlignment="1">
      <alignment vertical="center" wrapText="1"/>
    </xf>
    <xf numFmtId="0" fontId="70" fillId="0" borderId="78" xfId="52" applyFont="1" applyBorder="1" applyAlignment="1">
      <alignment vertical="center" wrapText="1"/>
    </xf>
    <xf numFmtId="0" fontId="70" fillId="0" borderId="77" xfId="52" applyFont="1" applyBorder="1" applyAlignment="1">
      <alignment vertical="top"/>
    </xf>
    <xf numFmtId="0" fontId="29" fillId="0" borderId="77" xfId="52" applyFont="1" applyBorder="1" applyAlignment="1">
      <alignment horizontal="left" vertical="center" wrapText="1"/>
    </xf>
    <xf numFmtId="0" fontId="29" fillId="0" borderId="0" xfId="52" applyFont="1" applyAlignment="1">
      <alignment horizontal="left" vertical="center" wrapText="1"/>
    </xf>
    <xf numFmtId="0" fontId="29" fillId="0" borderId="78" xfId="52" applyFont="1" applyBorder="1" applyAlignment="1">
      <alignment horizontal="left" vertical="center" wrapText="1"/>
    </xf>
    <xf numFmtId="0" fontId="70" fillId="0" borderId="77" xfId="52" applyFont="1" applyBorder="1" applyAlignment="1">
      <alignment horizontal="left" vertical="center"/>
    </xf>
    <xf numFmtId="0" fontId="69" fillId="0" borderId="0" xfId="1" applyNumberFormat="1" applyFont="1" applyBorder="1" applyAlignment="1" applyProtection="1">
      <alignment vertical="center"/>
    </xf>
    <xf numFmtId="0" fontId="29" fillId="0" borderId="77" xfId="52" applyFont="1" applyBorder="1" applyAlignment="1">
      <alignment vertical="center"/>
    </xf>
    <xf numFmtId="0" fontId="30" fillId="0" borderId="0" xfId="52" applyFont="1" applyAlignment="1">
      <alignment horizontal="right" vertical="center" indent="1"/>
    </xf>
    <xf numFmtId="0" fontId="30" fillId="0" borderId="0" xfId="52" applyFont="1" applyAlignment="1">
      <alignment horizontal="center" vertical="center"/>
    </xf>
    <xf numFmtId="38" fontId="29" fillId="0" borderId="0" xfId="0" applyNumberFormat="1" applyFont="1"/>
    <xf numFmtId="0" fontId="27" fillId="0" borderId="40"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xf numFmtId="0" fontId="61" fillId="0" borderId="0" xfId="1" applyFont="1" applyBorder="1" applyAlignment="1" applyProtection="1">
      <alignment horizontal="left" vertical="top"/>
    </xf>
    <xf numFmtId="0" fontId="29" fillId="0" borderId="100" xfId="0" applyFont="1" applyBorder="1" applyAlignment="1" applyProtection="1">
      <alignment horizontal="left" vertical="center" wrapText="1"/>
      <protection locked="0"/>
    </xf>
    <xf numFmtId="38" fontId="29" fillId="0" borderId="100" xfId="0" applyNumberFormat="1" applyFont="1" applyBorder="1" applyAlignment="1" applyProtection="1">
      <alignment horizontal="right" vertical="center"/>
      <protection locked="0"/>
    </xf>
    <xf numFmtId="0" fontId="30" fillId="0" borderId="33" xfId="0" applyFont="1" applyBorder="1" applyAlignment="1" applyProtection="1">
      <alignment horizontal="center"/>
      <protection locked="0"/>
    </xf>
    <xf numFmtId="0" fontId="30" fillId="0" borderId="33" xfId="0" applyFont="1" applyBorder="1" applyAlignment="1" applyProtection="1">
      <alignment horizontal="center" vertical="center"/>
      <protection locked="0"/>
    </xf>
    <xf numFmtId="49" fontId="30" fillId="0" borderId="33" xfId="0" applyNumberFormat="1" applyFont="1" applyBorder="1" applyAlignment="1" applyProtection="1">
      <alignment horizontal="center"/>
      <protection locked="0"/>
    </xf>
    <xf numFmtId="49" fontId="28" fillId="4" borderId="28" xfId="21" applyNumberFormat="1" applyFont="1" applyFill="1" applyBorder="1" applyAlignment="1">
      <alignment horizontal="left" vertical="center" wrapText="1" indent="2"/>
    </xf>
    <xf numFmtId="49" fontId="28" fillId="4" borderId="28" xfId="48" applyNumberFormat="1" applyFont="1" applyFill="1" applyBorder="1" applyAlignment="1">
      <alignment horizontal="left" vertical="center" wrapText="1" indent="3"/>
    </xf>
    <xf numFmtId="49" fontId="27" fillId="0" borderId="3" xfId="51" applyNumberFormat="1" applyFont="1" applyBorder="1" applyAlignment="1">
      <alignment horizontal="center" vertical="center" wrapText="1"/>
    </xf>
    <xf numFmtId="0" fontId="28" fillId="4" borderId="24" xfId="33" applyFont="1" applyFill="1" applyBorder="1" applyAlignment="1">
      <alignment horizontal="left" vertical="center" wrapText="1" indent="2"/>
    </xf>
    <xf numFmtId="0" fontId="25" fillId="4" borderId="51" xfId="33" applyFont="1" applyFill="1" applyBorder="1" applyAlignment="1">
      <alignment horizontal="left" vertical="center" indent="1"/>
    </xf>
    <xf numFmtId="0" fontId="30" fillId="0" borderId="39" xfId="34" applyFont="1" applyBorder="1" applyAlignment="1">
      <alignment horizontal="center" vertical="center" wrapText="1"/>
    </xf>
    <xf numFmtId="0" fontId="28" fillId="4" borderId="7" xfId="33" applyFont="1" applyFill="1" applyBorder="1" applyAlignment="1">
      <alignment horizontal="left" vertical="center" indent="2"/>
    </xf>
    <xf numFmtId="0" fontId="25" fillId="4" borderId="16" xfId="33" applyFont="1" applyFill="1" applyBorder="1" applyAlignment="1">
      <alignment horizontal="left" vertical="center" indent="1"/>
    </xf>
    <xf numFmtId="0" fontId="28" fillId="21" borderId="47" xfId="33" applyFont="1" applyFill="1" applyBorder="1" applyAlignment="1">
      <alignment horizontal="left" vertical="center" wrapText="1" indent="2"/>
    </xf>
    <xf numFmtId="0" fontId="25" fillId="21" borderId="94" xfId="33" applyFont="1" applyFill="1" applyBorder="1" applyAlignment="1">
      <alignment horizontal="left" vertical="center" indent="1"/>
    </xf>
    <xf numFmtId="0" fontId="28" fillId="21" borderId="47" xfId="34" applyFont="1" applyFill="1" applyBorder="1" applyAlignment="1">
      <alignment horizontal="left" vertical="center" indent="2"/>
    </xf>
    <xf numFmtId="0" fontId="30" fillId="21" borderId="94" xfId="0" applyFont="1" applyFill="1" applyBorder="1"/>
    <xf numFmtId="0" fontId="30" fillId="0" borderId="16" xfId="34" applyFont="1" applyBorder="1" applyAlignment="1">
      <alignment horizontal="center" vertical="center" wrapText="1"/>
    </xf>
    <xf numFmtId="0" fontId="28" fillId="4" borderId="24" xfId="34" applyFont="1" applyFill="1" applyBorder="1" applyAlignment="1">
      <alignment horizontal="left" vertical="center" indent="2"/>
    </xf>
    <xf numFmtId="0" fontId="30" fillId="4" borderId="51" xfId="0" applyFont="1" applyFill="1" applyBorder="1"/>
    <xf numFmtId="0" fontId="25" fillId="0" borderId="7" xfId="34" applyFont="1" applyBorder="1" applyAlignment="1">
      <alignment horizontal="left" indent="1"/>
    </xf>
    <xf numFmtId="0" fontId="25" fillId="0" borderId="15" xfId="34" applyFont="1" applyBorder="1" applyAlignment="1">
      <alignment horizontal="center" vertical="center"/>
    </xf>
    <xf numFmtId="0" fontId="25" fillId="0" borderId="7" xfId="34" applyFont="1" applyBorder="1" applyAlignment="1">
      <alignment horizontal="left" wrapText="1" indent="1"/>
    </xf>
    <xf numFmtId="0" fontId="25" fillId="0" borderId="15" xfId="34" applyFont="1" applyBorder="1" applyAlignment="1">
      <alignment horizontal="center" vertical="top"/>
    </xf>
    <xf numFmtId="0" fontId="25" fillId="0" borderId="14" xfId="34" applyFont="1" applyBorder="1" applyAlignment="1">
      <alignment horizontal="left" vertical="center" indent="1"/>
    </xf>
    <xf numFmtId="0" fontId="28" fillId="4" borderId="28" xfId="33" applyFont="1" applyFill="1" applyBorder="1" applyAlignment="1">
      <alignment horizontal="left" vertical="center" indent="2"/>
    </xf>
    <xf numFmtId="0" fontId="25" fillId="4" borderId="39" xfId="33" applyFont="1" applyFill="1" applyBorder="1" applyAlignment="1">
      <alignment horizontal="left" vertical="center" indent="1"/>
    </xf>
    <xf numFmtId="0" fontId="27" fillId="10" borderId="21" xfId="34" applyFont="1" applyFill="1" applyBorder="1" applyAlignment="1">
      <alignment vertical="center"/>
    </xf>
    <xf numFmtId="0" fontId="25" fillId="10" borderId="55" xfId="0" applyFont="1" applyFill="1" applyBorder="1" applyAlignment="1">
      <alignment horizontal="left" vertical="center" wrapText="1"/>
    </xf>
    <xf numFmtId="0" fontId="26" fillId="0" borderId="0" xfId="34" applyFont="1" applyAlignment="1">
      <alignment vertical="center"/>
    </xf>
    <xf numFmtId="0" fontId="25" fillId="0" borderId="15" xfId="34" applyFont="1" applyBorder="1" applyAlignment="1">
      <alignment horizontal="center" vertical="top" wrapText="1"/>
    </xf>
    <xf numFmtId="0" fontId="25" fillId="0" borderId="15" xfId="34" applyFont="1" applyBorder="1" applyAlignment="1">
      <alignment horizontal="center" vertical="center" wrapText="1"/>
    </xf>
    <xf numFmtId="0" fontId="25" fillId="0" borderId="15" xfId="34" applyFont="1" applyBorder="1" applyAlignment="1">
      <alignment horizontal="center"/>
    </xf>
    <xf numFmtId="0" fontId="25" fillId="0" borderId="14" xfId="34" applyFont="1" applyBorder="1" applyAlignment="1">
      <alignment horizontal="left" indent="1"/>
    </xf>
    <xf numFmtId="0" fontId="25" fillId="0" borderId="3" xfId="34" applyFont="1" applyBorder="1" applyAlignment="1">
      <alignment horizontal="center"/>
    </xf>
    <xf numFmtId="0" fontId="25" fillId="10" borderId="55" xfId="34" applyFont="1" applyFill="1" applyBorder="1" applyAlignment="1">
      <alignment horizontal="left" vertical="center" indent="1"/>
    </xf>
    <xf numFmtId="0" fontId="27" fillId="0" borderId="2" xfId="51" applyFont="1" applyBorder="1" applyAlignment="1">
      <alignment vertical="center" wrapText="1"/>
    </xf>
    <xf numFmtId="49" fontId="27" fillId="0" borderId="2" xfId="34" applyNumberFormat="1" applyFont="1" applyBorder="1" applyAlignment="1">
      <alignment horizontal="center" vertical="center"/>
    </xf>
    <xf numFmtId="0" fontId="27" fillId="0" borderId="3" xfId="0" applyFont="1" applyBorder="1" applyAlignment="1">
      <alignment horizontal="center" vertical="center" wrapText="1"/>
    </xf>
    <xf numFmtId="49" fontId="27" fillId="0" borderId="3" xfId="2" applyNumberFormat="1" applyFont="1" applyBorder="1" applyAlignment="1">
      <alignment horizontal="center" vertical="center" wrapText="1"/>
    </xf>
    <xf numFmtId="0" fontId="84" fillId="0" borderId="0" xfId="0" applyFont="1" applyAlignment="1">
      <alignment horizontal="left" vertical="center" readingOrder="1"/>
    </xf>
    <xf numFmtId="0" fontId="84" fillId="0" borderId="0" xfId="0" applyFont="1" applyAlignment="1">
      <alignment horizontal="left" readingOrder="1"/>
    </xf>
    <xf numFmtId="0" fontId="85" fillId="0" borderId="0" xfId="0" applyFont="1" applyAlignment="1">
      <alignment horizontal="left" readingOrder="1"/>
    </xf>
    <xf numFmtId="0" fontId="84" fillId="0" borderId="0" xfId="0" applyFont="1"/>
    <xf numFmtId="0" fontId="88" fillId="0" borderId="0" xfId="0" applyFont="1"/>
    <xf numFmtId="38" fontId="29" fillId="0" borderId="101" xfId="47" applyNumberFormat="1" applyFont="1" applyBorder="1" applyAlignment="1" applyProtection="1">
      <alignment horizontal="right"/>
      <protection locked="0"/>
    </xf>
    <xf numFmtId="38" fontId="29" fillId="0" borderId="102" xfId="47" applyNumberFormat="1" applyFont="1" applyBorder="1" applyAlignment="1" applyProtection="1">
      <alignment horizontal="right"/>
      <protection locked="0"/>
    </xf>
    <xf numFmtId="38" fontId="29" fillId="3" borderId="14" xfId="39" applyNumberFormat="1" applyFont="1" applyFill="1" applyBorder="1" applyAlignment="1">
      <alignment horizontal="right"/>
    </xf>
    <xf numFmtId="38" fontId="29" fillId="3" borderId="37" xfId="39" applyNumberFormat="1" applyFont="1" applyFill="1" applyBorder="1" applyAlignment="1">
      <alignment horizontal="right"/>
    </xf>
    <xf numFmtId="38" fontId="30" fillId="3" borderId="103" xfId="0" applyNumberFormat="1" applyFont="1" applyFill="1" applyBorder="1" applyAlignment="1">
      <alignment horizontal="right" vertical="center"/>
    </xf>
    <xf numFmtId="38" fontId="30" fillId="3" borderId="32" xfId="0" applyNumberFormat="1" applyFont="1" applyFill="1" applyBorder="1" applyAlignment="1">
      <alignment horizontal="right" vertical="center"/>
    </xf>
    <xf numFmtId="38" fontId="30" fillId="3" borderId="104" xfId="0" applyNumberFormat="1" applyFont="1" applyFill="1" applyBorder="1" applyAlignment="1">
      <alignment horizontal="right" vertical="center"/>
    </xf>
    <xf numFmtId="38" fontId="30" fillId="3" borderId="30" xfId="0" applyNumberFormat="1" applyFont="1" applyFill="1" applyBorder="1" applyAlignment="1">
      <alignment horizontal="right" vertical="center"/>
    </xf>
    <xf numFmtId="38" fontId="30" fillId="3" borderId="105" xfId="0" applyNumberFormat="1" applyFont="1" applyFill="1" applyBorder="1" applyAlignment="1">
      <alignment horizontal="right" vertical="center"/>
    </xf>
    <xf numFmtId="38" fontId="30" fillId="3" borderId="55" xfId="0" applyNumberFormat="1" applyFont="1" applyFill="1" applyBorder="1" applyAlignment="1">
      <alignment horizontal="right" vertical="center"/>
    </xf>
    <xf numFmtId="38" fontId="30" fillId="3" borderId="50" xfId="0" applyNumberFormat="1" applyFont="1" applyFill="1" applyBorder="1" applyAlignment="1">
      <alignment horizontal="right" vertical="center"/>
    </xf>
    <xf numFmtId="49" fontId="27" fillId="3" borderId="106" xfId="48" applyNumberFormat="1" applyFont="1" applyFill="1" applyBorder="1" applyAlignment="1">
      <alignment horizontal="left" vertical="center" wrapText="1" indent="2"/>
    </xf>
    <xf numFmtId="0" fontId="27" fillId="3" borderId="14" xfId="38" applyFont="1" applyFill="1" applyBorder="1" applyAlignment="1">
      <alignment horizontal="center" vertical="center"/>
    </xf>
    <xf numFmtId="38" fontId="29" fillId="0" borderId="101" xfId="45" applyNumberFormat="1" applyFont="1" applyBorder="1" applyAlignment="1" applyProtection="1">
      <alignment horizontal="right"/>
      <protection locked="0"/>
    </xf>
    <xf numFmtId="0" fontId="30" fillId="4" borderId="39" xfId="0" applyFont="1" applyFill="1" applyBorder="1" applyAlignment="1">
      <alignment horizontal="left" vertical="center" wrapText="1"/>
    </xf>
    <xf numFmtId="0" fontId="27" fillId="3" borderId="12" xfId="38" applyFont="1" applyFill="1" applyBorder="1" applyAlignment="1">
      <alignment horizontal="center" vertical="center"/>
    </xf>
    <xf numFmtId="0" fontId="27" fillId="0" borderId="2" xfId="33" applyFont="1" applyBorder="1" applyAlignment="1">
      <alignment horizontal="center" vertical="center"/>
    </xf>
    <xf numFmtId="0" fontId="29" fillId="10" borderId="25" xfId="33" applyFont="1" applyFill="1" applyBorder="1" applyAlignment="1">
      <alignment vertical="center" wrapText="1"/>
    </xf>
    <xf numFmtId="0" fontId="25" fillId="0" borderId="5" xfId="34" applyFont="1" applyBorder="1" applyAlignment="1">
      <alignment horizontal="center" vertical="center" wrapText="1"/>
    </xf>
    <xf numFmtId="0" fontId="28" fillId="4" borderId="19" xfId="34" applyFont="1" applyFill="1" applyBorder="1" applyAlignment="1">
      <alignment horizontal="center" vertical="center"/>
    </xf>
    <xf numFmtId="0" fontId="27" fillId="3" borderId="33" xfId="34" applyFont="1" applyFill="1" applyBorder="1" applyAlignment="1">
      <alignment horizontal="center" vertical="center"/>
    </xf>
    <xf numFmtId="0" fontId="25" fillId="0" borderId="7" xfId="36" applyFont="1" applyBorder="1" applyAlignment="1">
      <alignment horizontal="center" vertical="center" wrapText="1"/>
    </xf>
    <xf numFmtId="0" fontId="33" fillId="4" borderId="39" xfId="36" applyFont="1" applyFill="1" applyBorder="1" applyAlignment="1">
      <alignment vertical="center"/>
    </xf>
    <xf numFmtId="0" fontId="33" fillId="4" borderId="13" xfId="36" applyFont="1" applyFill="1" applyBorder="1" applyAlignment="1">
      <alignment vertical="center"/>
    </xf>
    <xf numFmtId="49" fontId="28" fillId="0" borderId="55" xfId="36" applyNumberFormat="1" applyFont="1" applyBorder="1" applyAlignment="1">
      <alignment horizontal="left" vertical="center"/>
    </xf>
    <xf numFmtId="49" fontId="28" fillId="0" borderId="25" xfId="36" applyNumberFormat="1" applyFont="1" applyBorder="1" applyAlignment="1">
      <alignment horizontal="left" vertical="center"/>
    </xf>
    <xf numFmtId="0" fontId="28" fillId="4" borderId="39" xfId="37" applyFont="1" applyFill="1" applyBorder="1" applyAlignment="1">
      <alignment horizontal="center" vertical="center"/>
    </xf>
    <xf numFmtId="0" fontId="28" fillId="4" borderId="19" xfId="38" applyFont="1" applyFill="1" applyBorder="1" applyAlignment="1">
      <alignment horizontal="center" vertical="center"/>
    </xf>
    <xf numFmtId="0" fontId="28" fillId="4" borderId="19" xfId="39" applyFont="1" applyFill="1" applyBorder="1" applyAlignment="1">
      <alignment horizontal="center" vertical="center"/>
    </xf>
    <xf numFmtId="0" fontId="28" fillId="4" borderId="19" xfId="41" applyFont="1" applyFill="1" applyBorder="1" applyAlignment="1">
      <alignment horizontal="center" vertical="center"/>
    </xf>
    <xf numFmtId="0" fontId="30" fillId="0" borderId="55" xfId="0" applyFont="1" applyBorder="1" applyAlignment="1">
      <alignment horizontal="left" vertical="center" wrapText="1"/>
    </xf>
    <xf numFmtId="0" fontId="28" fillId="4" borderId="19" xfId="42" applyFont="1" applyFill="1" applyBorder="1" applyAlignment="1">
      <alignment horizontal="center" vertical="center"/>
    </xf>
    <xf numFmtId="0" fontId="25" fillId="0" borderId="7" xfId="43" applyFont="1" applyBorder="1" applyAlignment="1">
      <alignment horizontal="center" vertical="center" wrapText="1"/>
    </xf>
    <xf numFmtId="0" fontId="28" fillId="4" borderId="19" xfId="43" applyFont="1" applyFill="1" applyBorder="1" applyAlignment="1">
      <alignment horizontal="center" vertical="center"/>
    </xf>
    <xf numFmtId="0" fontId="25" fillId="0" borderId="7" xfId="44" applyFont="1" applyBorder="1" applyAlignment="1">
      <alignment horizontal="center" vertical="center" wrapText="1"/>
    </xf>
    <xf numFmtId="0" fontId="28" fillId="4" borderId="19" xfId="45" applyFont="1" applyFill="1" applyBorder="1" applyAlignment="1">
      <alignment horizontal="center" vertical="center"/>
    </xf>
    <xf numFmtId="0" fontId="29" fillId="10" borderId="25" xfId="0" applyFont="1" applyFill="1" applyBorder="1" applyAlignment="1">
      <alignment vertical="center"/>
    </xf>
    <xf numFmtId="0" fontId="30" fillId="0" borderId="37" xfId="0" applyFont="1" applyBorder="1" applyAlignment="1">
      <alignment horizontal="left" vertical="center" wrapText="1"/>
    </xf>
    <xf numFmtId="0" fontId="29" fillId="10" borderId="25" xfId="0" applyFont="1" applyFill="1" applyBorder="1" applyAlignment="1">
      <alignment horizontal="left" vertical="center" wrapText="1"/>
    </xf>
    <xf numFmtId="0" fontId="29" fillId="10" borderId="16" xfId="0" applyFont="1" applyFill="1" applyBorder="1" applyAlignment="1">
      <alignment horizontal="left" vertical="center" wrapText="1"/>
    </xf>
    <xf numFmtId="0" fontId="25" fillId="0" borderId="2" xfId="47" applyFont="1" applyBorder="1" applyAlignment="1">
      <alignment horizontal="center" vertical="center"/>
    </xf>
    <xf numFmtId="0" fontId="27" fillId="3" borderId="38" xfId="48" applyFont="1" applyFill="1" applyBorder="1" applyAlignment="1">
      <alignment horizontal="center" vertical="center"/>
    </xf>
    <xf numFmtId="0" fontId="28" fillId="4" borderId="19" xfId="47" applyFont="1" applyFill="1" applyBorder="1" applyAlignment="1">
      <alignment horizontal="center" vertical="center"/>
    </xf>
    <xf numFmtId="0" fontId="29" fillId="10" borderId="25" xfId="0" applyFont="1" applyFill="1" applyBorder="1" applyAlignment="1">
      <alignment horizontal="center" vertical="center"/>
    </xf>
    <xf numFmtId="0" fontId="27" fillId="3" borderId="7" xfId="48" applyFont="1" applyFill="1" applyBorder="1" applyAlignment="1">
      <alignment horizontal="center" vertical="center"/>
    </xf>
    <xf numFmtId="0" fontId="25" fillId="0" borderId="7" xfId="48" applyFont="1" applyBorder="1" applyAlignment="1">
      <alignment horizontal="center" vertical="center"/>
    </xf>
    <xf numFmtId="0" fontId="27" fillId="3" borderId="14" xfId="48" applyFont="1" applyFill="1" applyBorder="1" applyAlignment="1">
      <alignment horizontal="center" vertical="center"/>
    </xf>
    <xf numFmtId="0" fontId="25" fillId="0" borderId="38" xfId="48" applyFont="1" applyBorder="1" applyAlignment="1">
      <alignment horizontal="center" vertical="center"/>
    </xf>
    <xf numFmtId="0" fontId="28" fillId="4" borderId="38" xfId="48" applyFont="1" applyFill="1" applyBorder="1" applyAlignment="1">
      <alignment horizontal="center" vertical="center"/>
    </xf>
    <xf numFmtId="0" fontId="12" fillId="0" borderId="0" xfId="0" applyFont="1" applyAlignment="1">
      <alignment vertical="top" wrapText="1"/>
    </xf>
    <xf numFmtId="49" fontId="0" fillId="0" borderId="0" xfId="0" applyNumberFormat="1" applyAlignment="1">
      <alignment horizontal="left"/>
    </xf>
    <xf numFmtId="0" fontId="29" fillId="0" borderId="0" xfId="0" applyFont="1" applyAlignment="1" applyProtection="1">
      <alignment vertical="center"/>
      <protection locked="0"/>
    </xf>
    <xf numFmtId="0" fontId="38" fillId="0" borderId="115" xfId="0" applyFont="1" applyBorder="1" applyAlignment="1" applyProtection="1">
      <alignment horizontal="center" vertical="center"/>
      <protection locked="0"/>
    </xf>
    <xf numFmtId="0" fontId="38" fillId="0" borderId="114" xfId="0" applyFont="1" applyBorder="1" applyAlignment="1" applyProtection="1">
      <alignment horizontal="center" vertical="center"/>
      <protection locked="0"/>
    </xf>
    <xf numFmtId="173" fontId="0" fillId="0" borderId="0" xfId="0" applyNumberFormat="1" applyAlignment="1">
      <alignment horizontal="left"/>
    </xf>
    <xf numFmtId="0" fontId="9" fillId="0" borderId="0" xfId="52" applyAlignment="1" applyProtection="1">
      <alignment vertical="top"/>
      <protection locked="0"/>
    </xf>
    <xf numFmtId="49" fontId="9" fillId="0" borderId="0" xfId="0" applyNumberFormat="1" applyFont="1" applyAlignment="1" applyProtection="1">
      <alignment horizontal="left" vertical="center"/>
      <protection locked="0"/>
    </xf>
    <xf numFmtId="0" fontId="39" fillId="0" borderId="0" xfId="52" applyFont="1" applyAlignment="1" applyProtection="1">
      <alignment vertical="top"/>
      <protection locked="0"/>
    </xf>
    <xf numFmtId="0" fontId="9" fillId="0" borderId="0" xfId="52" applyAlignment="1" applyProtection="1">
      <alignment horizontal="left"/>
      <protection locked="0"/>
    </xf>
    <xf numFmtId="0" fontId="74" fillId="23" borderId="114" xfId="0" applyFont="1" applyFill="1" applyBorder="1"/>
    <xf numFmtId="0" fontId="75" fillId="23" borderId="114" xfId="0" applyFont="1" applyFill="1" applyBorder="1"/>
    <xf numFmtId="164" fontId="74" fillId="23" borderId="114" xfId="0" applyNumberFormat="1" applyFont="1" applyFill="1" applyBorder="1" applyAlignment="1">
      <alignment horizontal="left"/>
    </xf>
    <xf numFmtId="0" fontId="38" fillId="19" borderId="114" xfId="0" applyFont="1" applyFill="1" applyBorder="1" applyAlignment="1">
      <alignment horizontal="center"/>
    </xf>
    <xf numFmtId="0" fontId="38" fillId="19" borderId="115" xfId="0" applyFont="1" applyFill="1" applyBorder="1" applyAlignment="1">
      <alignment horizontal="center"/>
    </xf>
    <xf numFmtId="0" fontId="75" fillId="23" borderId="114" xfId="0" applyFont="1" applyFill="1" applyBorder="1" applyAlignment="1">
      <alignment wrapText="1"/>
    </xf>
    <xf numFmtId="0" fontId="29" fillId="0" borderId="113" xfId="58" applyFont="1" applyBorder="1" applyAlignment="1">
      <alignment horizontal="left" vertical="top" wrapText="1" indent="1"/>
    </xf>
    <xf numFmtId="0" fontId="6" fillId="0" borderId="0" xfId="60"/>
    <xf numFmtId="44" fontId="6" fillId="0" borderId="0" xfId="60" applyNumberFormat="1"/>
    <xf numFmtId="44" fontId="0" fillId="0" borderId="0" xfId="61" applyFont="1"/>
    <xf numFmtId="0" fontId="0" fillId="0" borderId="0" xfId="61" applyNumberFormat="1" applyFont="1"/>
    <xf numFmtId="0" fontId="74" fillId="0" borderId="0" xfId="60" applyFont="1"/>
    <xf numFmtId="0" fontId="74" fillId="0" borderId="0" xfId="60" applyFont="1" applyAlignment="1">
      <alignment horizontal="center" wrapText="1"/>
    </xf>
    <xf numFmtId="0" fontId="74" fillId="0" borderId="0" xfId="60" applyFont="1" applyAlignment="1">
      <alignment horizontal="center"/>
    </xf>
    <xf numFmtId="0" fontId="74" fillId="0" borderId="0" xfId="60" applyFont="1" applyAlignment="1">
      <alignment horizontal="left"/>
    </xf>
    <xf numFmtId="44" fontId="74" fillId="0" borderId="0" xfId="60" applyNumberFormat="1" applyFont="1"/>
    <xf numFmtId="44" fontId="74" fillId="0" borderId="0" xfId="61" applyFont="1"/>
    <xf numFmtId="0" fontId="0" fillId="0" borderId="0" xfId="62" applyNumberFormat="1" applyFont="1"/>
    <xf numFmtId="9" fontId="0" fillId="0" borderId="0" xfId="62" applyFont="1"/>
    <xf numFmtId="0" fontId="6" fillId="0" borderId="116" xfId="60" applyBorder="1" applyAlignment="1">
      <alignment horizontal="left"/>
    </xf>
    <xf numFmtId="0" fontId="6" fillId="0" borderId="116" xfId="60" applyBorder="1"/>
    <xf numFmtId="0" fontId="6" fillId="0" borderId="117" xfId="60" applyBorder="1" applyAlignment="1">
      <alignment horizontal="left"/>
    </xf>
    <xf numFmtId="0" fontId="74" fillId="0" borderId="118" xfId="60" applyFont="1" applyBorder="1" applyAlignment="1">
      <alignment horizontal="center" vertical="center" wrapText="1"/>
    </xf>
    <xf numFmtId="0" fontId="74" fillId="0" borderId="0" xfId="60" applyFont="1" applyAlignment="1">
      <alignment wrapText="1"/>
    </xf>
    <xf numFmtId="1" fontId="95" fillId="0" borderId="0" xfId="60" applyNumberFormat="1" applyFont="1" applyAlignment="1">
      <alignment horizontal="center"/>
    </xf>
    <xf numFmtId="0" fontId="6" fillId="20" borderId="0" xfId="60" applyFill="1"/>
    <xf numFmtId="0" fontId="6" fillId="20" borderId="120" xfId="60" applyFill="1" applyBorder="1" applyAlignment="1">
      <alignment horizontal="center"/>
    </xf>
    <xf numFmtId="0" fontId="6" fillId="20" borderId="116" xfId="60" applyFill="1" applyBorder="1" applyAlignment="1">
      <alignment horizontal="center"/>
    </xf>
    <xf numFmtId="0" fontId="39" fillId="20" borderId="0" xfId="60" applyFont="1" applyFill="1"/>
    <xf numFmtId="0" fontId="76" fillId="20" borderId="0" xfId="60" applyFont="1" applyFill="1" applyProtection="1">
      <protection hidden="1"/>
    </xf>
    <xf numFmtId="0" fontId="6" fillId="20" borderId="81" xfId="60" applyFill="1" applyBorder="1"/>
    <xf numFmtId="0" fontId="6" fillId="20" borderId="80" xfId="60" applyFill="1" applyBorder="1"/>
    <xf numFmtId="0" fontId="6" fillId="20" borderId="79" xfId="60" applyFill="1" applyBorder="1"/>
    <xf numFmtId="0" fontId="6" fillId="20" borderId="78" xfId="60" applyFill="1" applyBorder="1"/>
    <xf numFmtId="0" fontId="6" fillId="20" borderId="77" xfId="60" applyFill="1" applyBorder="1"/>
    <xf numFmtId="0" fontId="9" fillId="20" borderId="0" xfId="60" applyFont="1" applyFill="1"/>
    <xf numFmtId="0" fontId="102" fillId="18" borderId="134" xfId="60" applyFont="1" applyFill="1" applyBorder="1" applyAlignment="1" applyProtection="1">
      <alignment horizontal="left" vertical="top" wrapText="1"/>
      <protection locked="0"/>
    </xf>
    <xf numFmtId="0" fontId="102" fillId="18" borderId="135" xfId="60" applyFont="1" applyFill="1" applyBorder="1" applyAlignment="1" applyProtection="1">
      <alignment horizontal="left" vertical="top" wrapText="1"/>
      <protection locked="0"/>
    </xf>
    <xf numFmtId="0" fontId="102" fillId="18" borderId="122" xfId="60" applyFont="1" applyFill="1" applyBorder="1" applyAlignment="1" applyProtection="1">
      <alignment horizontal="left" vertical="top" wrapText="1"/>
      <protection locked="0"/>
    </xf>
    <xf numFmtId="0" fontId="102" fillId="18" borderId="116" xfId="60" applyFont="1" applyFill="1" applyBorder="1" applyAlignment="1" applyProtection="1">
      <alignment horizontal="left" vertical="top" wrapText="1"/>
      <protection locked="0"/>
    </xf>
    <xf numFmtId="0" fontId="6" fillId="18" borderId="134" xfId="60" applyFill="1" applyBorder="1" applyAlignment="1" applyProtection="1">
      <alignment vertical="top"/>
      <protection locked="0"/>
    </xf>
    <xf numFmtId="0" fontId="6" fillId="18" borderId="135" xfId="60" applyFill="1" applyBorder="1" applyAlignment="1" applyProtection="1">
      <alignment vertical="top"/>
      <protection locked="0"/>
    </xf>
    <xf numFmtId="0" fontId="6" fillId="18" borderId="122" xfId="60" applyFill="1" applyBorder="1" applyAlignment="1" applyProtection="1">
      <alignment vertical="top"/>
      <protection locked="0"/>
    </xf>
    <xf numFmtId="0" fontId="6" fillId="18" borderId="116" xfId="60" applyFill="1" applyBorder="1" applyAlignment="1" applyProtection="1">
      <alignment vertical="top"/>
      <protection locked="0"/>
    </xf>
    <xf numFmtId="174" fontId="97" fillId="20" borderId="116" xfId="60" applyNumberFormat="1" applyFont="1" applyFill="1" applyBorder="1" applyAlignment="1" applyProtection="1">
      <alignment horizontal="center" vertical="center"/>
      <protection locked="0"/>
    </xf>
    <xf numFmtId="174" fontId="74" fillId="27" borderId="136" xfId="60" applyNumberFormat="1" applyFont="1" applyFill="1" applyBorder="1" applyAlignment="1">
      <alignment horizontal="center" vertical="center"/>
    </xf>
    <xf numFmtId="174" fontId="74" fillId="27" borderId="141" xfId="60" applyNumberFormat="1" applyFont="1" applyFill="1" applyBorder="1" applyAlignment="1" applyProtection="1">
      <alignment horizontal="center" vertical="center"/>
      <protection hidden="1"/>
    </xf>
    <xf numFmtId="174" fontId="74" fillId="27" borderId="141" xfId="60" applyNumberFormat="1" applyFont="1" applyFill="1" applyBorder="1" applyAlignment="1" applyProtection="1">
      <alignment horizontal="center"/>
      <protection hidden="1"/>
    </xf>
    <xf numFmtId="174" fontId="39" fillId="20" borderId="0" xfId="60" applyNumberFormat="1" applyFont="1" applyFill="1"/>
    <xf numFmtId="174" fontId="76" fillId="20" borderId="0" xfId="60" applyNumberFormat="1" applyFont="1" applyFill="1" applyProtection="1">
      <protection hidden="1"/>
    </xf>
    <xf numFmtId="174" fontId="39" fillId="20" borderId="148" xfId="60" applyNumberFormat="1" applyFont="1" applyFill="1" applyBorder="1" applyAlignment="1" applyProtection="1">
      <alignment horizontal="center" vertical="center"/>
      <protection locked="0"/>
    </xf>
    <xf numFmtId="174" fontId="39" fillId="20" borderId="149" xfId="60" applyNumberFormat="1" applyFont="1" applyFill="1" applyBorder="1" applyAlignment="1" applyProtection="1">
      <alignment horizontal="center" vertical="center"/>
      <protection locked="0"/>
    </xf>
    <xf numFmtId="174" fontId="39" fillId="18" borderId="149" xfId="60" applyNumberFormat="1" applyFont="1" applyFill="1" applyBorder="1" applyAlignment="1" applyProtection="1">
      <alignment horizontal="center"/>
      <protection hidden="1"/>
    </xf>
    <xf numFmtId="174" fontId="37" fillId="27" borderId="147" xfId="60" applyNumberFormat="1" applyFont="1" applyFill="1" applyBorder="1" applyAlignment="1" applyProtection="1">
      <alignment horizontal="center" vertical="center"/>
      <protection hidden="1"/>
    </xf>
    <xf numFmtId="174" fontId="37" fillId="27" borderId="147" xfId="60" applyNumberFormat="1" applyFont="1" applyFill="1" applyBorder="1" applyAlignment="1" applyProtection="1">
      <alignment horizontal="center"/>
      <protection hidden="1"/>
    </xf>
    <xf numFmtId="174" fontId="6" fillId="0" borderId="117" xfId="60" applyNumberFormat="1" applyBorder="1" applyAlignment="1" applyProtection="1">
      <alignment horizontal="center" vertical="center"/>
      <protection locked="0"/>
    </xf>
    <xf numFmtId="174" fontId="6" fillId="27" borderId="117" xfId="60" applyNumberFormat="1" applyFill="1" applyBorder="1" applyAlignment="1" applyProtection="1">
      <alignment horizontal="center"/>
      <protection hidden="1"/>
    </xf>
    <xf numFmtId="0" fontId="76" fillId="20" borderId="0" xfId="60" applyFont="1" applyFill="1"/>
    <xf numFmtId="0" fontId="99" fillId="26" borderId="123" xfId="60" applyFont="1" applyFill="1" applyBorder="1" applyAlignment="1">
      <alignment horizontal="center" vertical="center"/>
    </xf>
    <xf numFmtId="0" fontId="99" fillId="26" borderId="125" xfId="60" applyFont="1" applyFill="1" applyBorder="1" applyAlignment="1">
      <alignment horizontal="center" vertical="center"/>
    </xf>
    <xf numFmtId="0" fontId="6" fillId="18" borderId="139" xfId="60" applyFill="1" applyBorder="1" applyAlignment="1">
      <alignment horizontal="center" vertical="top"/>
    </xf>
    <xf numFmtId="174" fontId="97" fillId="27" borderId="116" xfId="60" applyNumberFormat="1" applyFont="1" applyFill="1" applyBorder="1" applyAlignment="1" applyProtection="1">
      <alignment horizontal="center" vertical="top"/>
      <protection hidden="1"/>
    </xf>
    <xf numFmtId="0" fontId="6" fillId="18" borderId="78" xfId="60" applyFill="1" applyBorder="1"/>
    <xf numFmtId="0" fontId="74" fillId="18" borderId="78" xfId="60" applyFont="1" applyFill="1" applyBorder="1" applyAlignment="1">
      <alignment horizontal="left" vertical="top"/>
    </xf>
    <xf numFmtId="174" fontId="97" fillId="18" borderId="78" xfId="60" applyNumberFormat="1" applyFont="1" applyFill="1" applyBorder="1" applyAlignment="1">
      <alignment horizontal="center" vertical="top"/>
    </xf>
    <xf numFmtId="174" fontId="97" fillId="18" borderId="78" xfId="60" applyNumberFormat="1" applyFont="1" applyFill="1" applyBorder="1" applyAlignment="1" applyProtection="1">
      <alignment horizontal="center" vertical="top"/>
      <protection hidden="1"/>
    </xf>
    <xf numFmtId="0" fontId="6" fillId="18" borderId="78" xfId="60" applyFill="1" applyBorder="1" applyAlignment="1">
      <alignment horizontal="left" vertical="top"/>
    </xf>
    <xf numFmtId="0" fontId="97" fillId="27" borderId="116" xfId="60" applyFont="1" applyFill="1" applyBorder="1" applyAlignment="1" applyProtection="1">
      <alignment horizontal="center" vertical="top"/>
      <protection hidden="1"/>
    </xf>
    <xf numFmtId="9" fontId="97" fillId="18" borderId="78" xfId="62" applyFont="1" applyFill="1" applyBorder="1" applyAlignment="1">
      <alignment horizontal="center" vertical="top"/>
    </xf>
    <xf numFmtId="9" fontId="97" fillId="18" borderId="78" xfId="62" applyFont="1" applyFill="1" applyBorder="1" applyAlignment="1" applyProtection="1">
      <alignment horizontal="center" vertical="top"/>
      <protection hidden="1"/>
    </xf>
    <xf numFmtId="0" fontId="102" fillId="27" borderId="115" xfId="60" applyFont="1" applyFill="1" applyBorder="1" applyAlignment="1">
      <alignment vertical="top" wrapText="1"/>
    </xf>
    <xf numFmtId="0" fontId="39" fillId="20" borderId="0" xfId="60" applyFont="1" applyFill="1" applyProtection="1">
      <protection hidden="1"/>
    </xf>
    <xf numFmtId="0" fontId="102" fillId="20" borderId="114" xfId="60" applyFont="1" applyFill="1" applyBorder="1" applyAlignment="1">
      <alignment vertical="top" wrapText="1"/>
    </xf>
    <xf numFmtId="0" fontId="94" fillId="18" borderId="0" xfId="60" applyFont="1" applyFill="1" applyAlignment="1" applyProtection="1">
      <alignment horizontal="center" vertical="center"/>
      <protection hidden="1"/>
    </xf>
    <xf numFmtId="0" fontId="74" fillId="23" borderId="114" xfId="60" applyFont="1" applyFill="1" applyBorder="1" applyAlignment="1" applyProtection="1">
      <alignment horizontal="center"/>
      <protection locked="0"/>
    </xf>
    <xf numFmtId="0" fontId="74" fillId="20" borderId="151" xfId="60" applyFont="1" applyFill="1" applyBorder="1"/>
    <xf numFmtId="14" fontId="6" fillId="0" borderId="0" xfId="60" applyNumberFormat="1"/>
    <xf numFmtId="9" fontId="6" fillId="0" borderId="0" xfId="60" applyNumberFormat="1"/>
    <xf numFmtId="0" fontId="76" fillId="25" borderId="0" xfId="60" applyFont="1" applyFill="1"/>
    <xf numFmtId="0" fontId="6" fillId="28" borderId="96" xfId="60" applyFill="1" applyBorder="1"/>
    <xf numFmtId="0" fontId="6" fillId="28" borderId="77" xfId="60" applyFill="1" applyBorder="1"/>
    <xf numFmtId="0" fontId="6" fillId="28" borderId="125" xfId="60" applyFill="1" applyBorder="1"/>
    <xf numFmtId="0" fontId="105" fillId="28" borderId="77" xfId="60" applyFont="1" applyFill="1" applyBorder="1"/>
    <xf numFmtId="0" fontId="74" fillId="29" borderId="116" xfId="60" applyFont="1" applyFill="1" applyBorder="1" applyAlignment="1">
      <alignment horizontal="left" vertical="top"/>
    </xf>
    <xf numFmtId="0" fontId="6" fillId="29" borderId="136" xfId="60" applyFill="1" applyBorder="1" applyAlignment="1">
      <alignment horizontal="left" vertical="top" wrapText="1"/>
    </xf>
    <xf numFmtId="0" fontId="6" fillId="29" borderId="136" xfId="60" applyFill="1" applyBorder="1" applyAlignment="1">
      <alignment horizontal="left" vertical="top"/>
    </xf>
    <xf numFmtId="0" fontId="74" fillId="29" borderId="117" xfId="60" applyFont="1" applyFill="1" applyBorder="1" applyAlignment="1">
      <alignment horizontal="center" vertical="center" wrapText="1"/>
    </xf>
    <xf numFmtId="0" fontId="95" fillId="29" borderId="117" xfId="60" applyFont="1" applyFill="1" applyBorder="1" applyAlignment="1">
      <alignment horizontal="center" vertical="center" wrapText="1"/>
    </xf>
    <xf numFmtId="0" fontId="6" fillId="29" borderId="124" xfId="60" applyFill="1" applyBorder="1" applyAlignment="1">
      <alignment vertical="top" wrapText="1"/>
    </xf>
    <xf numFmtId="0" fontId="6" fillId="29" borderId="116" xfId="60" applyFill="1" applyBorder="1" applyAlignment="1">
      <alignment horizontal="left" vertical="top" wrapText="1"/>
    </xf>
    <xf numFmtId="0" fontId="6" fillId="29" borderId="116" xfId="60" applyFill="1" applyBorder="1" applyAlignment="1">
      <alignment vertical="top"/>
    </xf>
    <xf numFmtId="0" fontId="6" fillId="29" borderId="116" xfId="60" applyFill="1" applyBorder="1" applyAlignment="1">
      <alignment vertical="top" wrapText="1"/>
    </xf>
    <xf numFmtId="0" fontId="74" fillId="29" borderId="116" xfId="60" applyFont="1" applyFill="1" applyBorder="1" applyAlignment="1">
      <alignment horizontal="center"/>
    </xf>
    <xf numFmtId="0" fontId="74" fillId="29" borderId="117" xfId="60" applyFont="1" applyFill="1" applyBorder="1" applyAlignment="1">
      <alignment horizontal="center"/>
    </xf>
    <xf numFmtId="0" fontId="6" fillId="31" borderId="136" xfId="60" applyFill="1" applyBorder="1" applyAlignment="1" applyProtection="1">
      <alignment horizontal="center" vertical="center"/>
      <protection locked="0"/>
    </xf>
    <xf numFmtId="0" fontId="6" fillId="31" borderId="122" xfId="60" applyFill="1" applyBorder="1" applyAlignment="1" applyProtection="1">
      <alignment horizontal="center" vertical="center"/>
      <protection locked="0"/>
    </xf>
    <xf numFmtId="0" fontId="6" fillId="31" borderId="116" xfId="60" applyFill="1" applyBorder="1" applyAlignment="1" applyProtection="1">
      <alignment horizontal="center" vertical="center"/>
      <protection locked="0"/>
    </xf>
    <xf numFmtId="0" fontId="6" fillId="31" borderId="116" xfId="60" applyFill="1" applyBorder="1" applyAlignment="1" applyProtection="1">
      <alignment horizontal="center" vertical="center" wrapText="1"/>
      <protection locked="0"/>
    </xf>
    <xf numFmtId="0" fontId="102" fillId="31" borderId="114" xfId="60" applyFont="1" applyFill="1" applyBorder="1" applyAlignment="1">
      <alignment wrapText="1"/>
    </xf>
    <xf numFmtId="0" fontId="6" fillId="28" borderId="123" xfId="60" applyFill="1" applyBorder="1"/>
    <xf numFmtId="174" fontId="105" fillId="28" borderId="139" xfId="60" applyNumberFormat="1" applyFont="1" applyFill="1" applyBorder="1" applyAlignment="1" applyProtection="1">
      <alignment horizontal="center"/>
      <protection hidden="1"/>
    </xf>
    <xf numFmtId="0" fontId="6" fillId="28" borderId="79" xfId="60" applyFill="1" applyBorder="1"/>
    <xf numFmtId="0" fontId="6" fillId="28" borderId="80" xfId="60" applyFill="1" applyBorder="1"/>
    <xf numFmtId="0" fontId="6" fillId="28" borderId="108" xfId="60" applyFill="1" applyBorder="1"/>
    <xf numFmtId="0" fontId="37" fillId="34" borderId="147" xfId="60" applyFont="1" applyFill="1" applyBorder="1" applyAlignment="1">
      <alignment horizontal="right"/>
    </xf>
    <xf numFmtId="0" fontId="37" fillId="36" borderId="147" xfId="60" applyFont="1" applyFill="1" applyBorder="1" applyAlignment="1">
      <alignment horizontal="right"/>
    </xf>
    <xf numFmtId="0" fontId="6" fillId="36" borderId="133" xfId="60" applyFill="1" applyBorder="1"/>
    <xf numFmtId="0" fontId="6" fillId="36" borderId="124" xfId="60" applyFill="1" applyBorder="1"/>
    <xf numFmtId="0" fontId="6" fillId="34" borderId="124" xfId="60" applyFill="1" applyBorder="1"/>
    <xf numFmtId="0" fontId="6" fillId="34" borderId="137" xfId="60" applyFill="1" applyBorder="1"/>
    <xf numFmtId="0" fontId="37" fillId="38" borderId="147" xfId="60" applyFont="1" applyFill="1" applyBorder="1" applyAlignment="1">
      <alignment horizontal="right"/>
    </xf>
    <xf numFmtId="0" fontId="37" fillId="20" borderId="147" xfId="60" applyFont="1" applyFill="1" applyBorder="1" applyAlignment="1">
      <alignment horizontal="right"/>
    </xf>
    <xf numFmtId="0" fontId="74" fillId="27" borderId="136" xfId="60" applyFont="1" applyFill="1" applyBorder="1" applyAlignment="1">
      <alignment horizontal="right" vertical="top" wrapText="1"/>
    </xf>
    <xf numFmtId="4" fontId="97" fillId="27" borderId="116" xfId="60" applyNumberFormat="1" applyFont="1" applyFill="1" applyBorder="1" applyAlignment="1" applyProtection="1">
      <alignment horizontal="center" vertical="top"/>
      <protection hidden="1"/>
    </xf>
    <xf numFmtId="0" fontId="5" fillId="0" borderId="0" xfId="60" applyFont="1"/>
    <xf numFmtId="0" fontId="5" fillId="0" borderId="0" xfId="60" applyFont="1" applyAlignment="1">
      <alignment horizontal="left"/>
    </xf>
    <xf numFmtId="0" fontId="112" fillId="0" borderId="0" xfId="0" applyFont="1" applyAlignment="1">
      <alignment vertical="center"/>
    </xf>
    <xf numFmtId="38" fontId="29" fillId="0" borderId="101" xfId="24" applyNumberFormat="1" applyFont="1" applyBorder="1" applyAlignment="1" applyProtection="1">
      <alignment horizontal="right"/>
      <protection locked="0"/>
    </xf>
    <xf numFmtId="0" fontId="25" fillId="0" borderId="32" xfId="0" applyFont="1" applyBorder="1" applyAlignment="1">
      <alignment horizontal="left" vertical="center" indent="1"/>
    </xf>
    <xf numFmtId="0" fontId="25" fillId="0" borderId="100" xfId="0" applyFont="1" applyBorder="1" applyAlignment="1">
      <alignment horizontal="center" vertical="center"/>
    </xf>
    <xf numFmtId="0" fontId="25" fillId="0" borderId="32" xfId="0" applyFont="1" applyBorder="1" applyAlignment="1">
      <alignment horizontal="left" vertical="center" wrapText="1" indent="1"/>
    </xf>
    <xf numFmtId="0" fontId="113" fillId="0" borderId="0" xfId="0" applyFont="1" applyAlignment="1">
      <alignment vertical="center"/>
    </xf>
    <xf numFmtId="0" fontId="9" fillId="0" borderId="0" xfId="0" applyFont="1" applyProtection="1">
      <protection locked="0"/>
    </xf>
    <xf numFmtId="38" fontId="29" fillId="3" borderId="3" xfId="36" applyNumberFormat="1" applyFont="1" applyFill="1" applyBorder="1" applyAlignment="1" applyProtection="1">
      <alignment horizontal="right"/>
      <protection locked="0"/>
    </xf>
    <xf numFmtId="0" fontId="75" fillId="0" borderId="0" xfId="0" applyFont="1"/>
    <xf numFmtId="0" fontId="80" fillId="0" borderId="116" xfId="0" applyFont="1" applyBorder="1" applyAlignment="1">
      <alignment horizontal="right"/>
    </xf>
    <xf numFmtId="0" fontId="75" fillId="0" borderId="116" xfId="0" applyFont="1" applyBorder="1"/>
    <xf numFmtId="0" fontId="75" fillId="9" borderId="116" xfId="0" applyFont="1" applyFill="1" applyBorder="1" applyAlignment="1">
      <alignment horizontal="center" wrapText="1"/>
    </xf>
    <xf numFmtId="0" fontId="75" fillId="9" borderId="116" xfId="0" applyFont="1" applyFill="1" applyBorder="1" applyAlignment="1">
      <alignment horizontal="center"/>
    </xf>
    <xf numFmtId="0" fontId="75" fillId="24" borderId="116" xfId="0" applyFont="1" applyFill="1" applyBorder="1" applyAlignment="1">
      <alignment horizontal="center"/>
    </xf>
    <xf numFmtId="0" fontId="0" fillId="18" borderId="0" xfId="0" applyFill="1"/>
    <xf numFmtId="0" fontId="0" fillId="9" borderId="116" xfId="0" applyFill="1" applyBorder="1"/>
    <xf numFmtId="49" fontId="75" fillId="9" borderId="116" xfId="0" applyNumberFormat="1" applyFont="1" applyFill="1" applyBorder="1" applyAlignment="1">
      <alignment horizontal="center"/>
    </xf>
    <xf numFmtId="0" fontId="0" fillId="0" borderId="116" xfId="0" applyBorder="1" applyProtection="1">
      <protection locked="0"/>
    </xf>
    <xf numFmtId="0" fontId="6" fillId="18" borderId="78" xfId="60" applyFill="1" applyBorder="1" applyAlignment="1">
      <alignment horizontal="center" vertical="top"/>
    </xf>
    <xf numFmtId="0" fontId="6" fillId="28" borderId="78" xfId="60" applyFill="1" applyBorder="1" applyAlignment="1">
      <alignment horizontal="center"/>
    </xf>
    <xf numFmtId="0" fontId="94" fillId="28" borderId="96" xfId="60" applyFont="1" applyFill="1" applyBorder="1" applyAlignment="1">
      <alignment horizontal="center" vertical="center"/>
    </xf>
    <xf numFmtId="0" fontId="6" fillId="28" borderId="138" xfId="60" applyFill="1" applyBorder="1" applyAlignment="1">
      <alignment horizontal="center"/>
    </xf>
    <xf numFmtId="0" fontId="6" fillId="20" borderId="78" xfId="60" applyFill="1" applyBorder="1" applyAlignment="1">
      <alignment horizontal="left" vertical="top" wrapText="1"/>
    </xf>
    <xf numFmtId="0" fontId="94" fillId="28" borderId="116" xfId="60" applyFont="1" applyFill="1" applyBorder="1" applyAlignment="1">
      <alignment horizontal="center" vertical="center"/>
    </xf>
    <xf numFmtId="0" fontId="4" fillId="20" borderId="0" xfId="60" applyFont="1" applyFill="1"/>
    <xf numFmtId="0" fontId="94" fillId="28" borderId="125" xfId="60" applyFont="1" applyFill="1" applyBorder="1" applyAlignment="1">
      <alignment horizontal="center" vertical="center"/>
    </xf>
    <xf numFmtId="0" fontId="6" fillId="31" borderId="116" xfId="60" applyFill="1" applyBorder="1" applyAlignment="1" applyProtection="1">
      <alignment vertical="center"/>
      <protection locked="0"/>
    </xf>
    <xf numFmtId="0" fontId="39" fillId="18" borderId="0" xfId="60" applyFont="1" applyFill="1" applyAlignment="1">
      <alignment vertical="center" wrapText="1"/>
    </xf>
    <xf numFmtId="0" fontId="39" fillId="18" borderId="78" xfId="60" applyFont="1" applyFill="1" applyBorder="1" applyAlignment="1">
      <alignment vertical="center" wrapText="1"/>
    </xf>
    <xf numFmtId="0" fontId="6" fillId="31" borderId="128" xfId="60" applyFill="1" applyBorder="1" applyAlignment="1" applyProtection="1">
      <alignment vertical="center"/>
      <protection locked="0"/>
    </xf>
    <xf numFmtId="0" fontId="39" fillId="20" borderId="0" xfId="0" applyFont="1" applyFill="1"/>
    <xf numFmtId="0" fontId="114" fillId="20" borderId="0" xfId="60" applyFont="1" applyFill="1" applyProtection="1">
      <protection hidden="1"/>
    </xf>
    <xf numFmtId="0" fontId="4" fillId="34" borderId="124" xfId="60" applyFont="1" applyFill="1" applyBorder="1"/>
    <xf numFmtId="0" fontId="4" fillId="36" borderId="124" xfId="60" applyFont="1" applyFill="1" applyBorder="1"/>
    <xf numFmtId="0" fontId="39" fillId="39" borderId="116" xfId="0" applyFont="1" applyFill="1" applyBorder="1"/>
    <xf numFmtId="0" fontId="6" fillId="18" borderId="0" xfId="60" applyFill="1" applyAlignment="1">
      <alignment horizontal="left" vertical="top"/>
    </xf>
    <xf numFmtId="0" fontId="6" fillId="18" borderId="0" xfId="60" applyFill="1" applyAlignment="1">
      <alignment horizontal="center" vertical="top"/>
    </xf>
    <xf numFmtId="0" fontId="6" fillId="28" borderId="0" xfId="60" applyFill="1"/>
    <xf numFmtId="0" fontId="6" fillId="28" borderId="0" xfId="60" applyFill="1" applyAlignment="1">
      <alignment horizontal="center"/>
    </xf>
    <xf numFmtId="0" fontId="6" fillId="20" borderId="0" xfId="60" applyFill="1" applyAlignment="1">
      <alignment vertical="top" wrapText="1"/>
    </xf>
    <xf numFmtId="0" fontId="6" fillId="20" borderId="0" xfId="60" applyFill="1" applyAlignment="1">
      <alignment horizontal="left" vertical="top" wrapText="1"/>
    </xf>
    <xf numFmtId="0" fontId="95" fillId="20" borderId="0" xfId="60" applyFont="1" applyFill="1" applyAlignment="1" applyProtection="1">
      <alignment horizontal="right" vertical="center"/>
      <protection hidden="1"/>
    </xf>
    <xf numFmtId="0" fontId="6" fillId="20" borderId="0" xfId="60" applyFill="1" applyAlignment="1">
      <alignment horizontal="right" vertical="top" wrapText="1"/>
    </xf>
    <xf numFmtId="0" fontId="6" fillId="20" borderId="0" xfId="60" applyFill="1" applyAlignment="1">
      <alignment vertical="top"/>
    </xf>
    <xf numFmtId="174" fontId="39" fillId="27" borderId="116" xfId="61" applyNumberFormat="1" applyFont="1" applyFill="1" applyBorder="1" applyAlignment="1" applyProtection="1">
      <alignment horizontal="center" vertical="top"/>
      <protection hidden="1"/>
    </xf>
    <xf numFmtId="174" fontId="39" fillId="0" borderId="116" xfId="61" applyNumberFormat="1" applyFont="1" applyBorder="1" applyAlignment="1" applyProtection="1">
      <alignment horizontal="center" vertical="center"/>
      <protection locked="0"/>
    </xf>
    <xf numFmtId="0" fontId="4" fillId="0" borderId="116" xfId="60" applyFont="1" applyBorder="1" applyAlignment="1">
      <alignment horizontal="left"/>
    </xf>
    <xf numFmtId="0" fontId="4" fillId="0" borderId="0" xfId="60" applyFont="1" applyAlignment="1">
      <alignment horizontal="left"/>
    </xf>
    <xf numFmtId="0" fontId="4" fillId="0" borderId="0" xfId="60" applyFont="1"/>
    <xf numFmtId="0" fontId="3" fillId="0" borderId="0" xfId="60" applyFont="1" applyAlignment="1">
      <alignment horizontal="left"/>
    </xf>
    <xf numFmtId="165" fontId="38" fillId="6" borderId="12" xfId="0" applyNumberFormat="1" applyFont="1" applyFill="1" applyBorder="1" applyAlignment="1">
      <alignment horizontal="right" vertical="center"/>
    </xf>
    <xf numFmtId="165" fontId="29" fillId="0" borderId="128" xfId="0" applyNumberFormat="1" applyFont="1" applyBorder="1" applyAlignment="1">
      <alignment horizontal="left" vertical="center"/>
    </xf>
    <xf numFmtId="0" fontId="62" fillId="0" borderId="124" xfId="0" applyFont="1" applyBorder="1" applyAlignment="1">
      <alignment horizontal="center" vertical="center"/>
    </xf>
    <xf numFmtId="0" fontId="29" fillId="0" borderId="124" xfId="0" applyFont="1" applyBorder="1" applyAlignment="1">
      <alignment horizontal="left" vertical="center" wrapText="1" indent="1"/>
    </xf>
    <xf numFmtId="0" fontId="30" fillId="0" borderId="0" xfId="52" applyFont="1" applyAlignment="1">
      <alignment horizontal="left" vertical="top" wrapText="1" indent="2"/>
    </xf>
    <xf numFmtId="0" fontId="54" fillId="0" borderId="0" xfId="52" applyFont="1" applyAlignment="1">
      <alignment horizontal="center"/>
    </xf>
    <xf numFmtId="167" fontId="30" fillId="0" borderId="0" xfId="52" applyNumberFormat="1" applyFont="1" applyAlignment="1">
      <alignment horizontal="center"/>
    </xf>
    <xf numFmtId="0" fontId="54" fillId="0" borderId="0" xfId="52" applyFont="1" applyAlignment="1">
      <alignment horizontal="center" vertical="center" wrapText="1"/>
    </xf>
    <xf numFmtId="0" fontId="70" fillId="0" borderId="77" xfId="52" applyFont="1" applyBorder="1" applyAlignment="1">
      <alignment vertical="center"/>
    </xf>
    <xf numFmtId="0" fontId="70" fillId="0" borderId="0" xfId="52" applyFont="1" applyAlignment="1">
      <alignment vertical="center"/>
    </xf>
    <xf numFmtId="0" fontId="30" fillId="22" borderId="0" xfId="52" applyFont="1" applyFill="1" applyAlignment="1">
      <alignment horizontal="left" vertical="center"/>
    </xf>
    <xf numFmtId="0" fontId="30" fillId="22" borderId="0" xfId="52" applyFont="1" applyFill="1" applyAlignment="1">
      <alignment vertical="center"/>
    </xf>
    <xf numFmtId="0" fontId="38" fillId="0" borderId="0" xfId="52" applyFont="1" applyAlignment="1">
      <alignment wrapText="1"/>
    </xf>
    <xf numFmtId="0" fontId="37" fillId="0" borderId="0" xfId="52" applyFont="1" applyAlignment="1">
      <alignment horizontal="left" vertical="center"/>
    </xf>
    <xf numFmtId="0" fontId="54" fillId="0" borderId="0" xfId="52" applyFont="1" applyAlignment="1">
      <alignment vertical="center"/>
    </xf>
    <xf numFmtId="0" fontId="89" fillId="0" borderId="0" xfId="0" applyFont="1"/>
    <xf numFmtId="0" fontId="68" fillId="0" borderId="76" xfId="52" applyFont="1" applyBorder="1" applyAlignment="1">
      <alignment horizontal="left" vertical="center"/>
    </xf>
    <xf numFmtId="0" fontId="68" fillId="0" borderId="78" xfId="52" applyFont="1" applyBorder="1" applyAlignment="1">
      <alignment vertical="center"/>
    </xf>
    <xf numFmtId="0" fontId="70" fillId="0" borderId="78" xfId="52" applyFont="1" applyBorder="1" applyAlignment="1">
      <alignment vertical="center"/>
    </xf>
    <xf numFmtId="0" fontId="38" fillId="22" borderId="77" xfId="52" applyFont="1" applyFill="1" applyBorder="1" applyAlignment="1">
      <alignment horizontal="left"/>
    </xf>
    <xf numFmtId="0" fontId="30" fillId="22" borderId="77" xfId="52" applyFont="1" applyFill="1" applyBorder="1" applyAlignment="1">
      <alignment vertical="center"/>
    </xf>
    <xf numFmtId="165" fontId="38" fillId="0" borderId="79" xfId="52" applyNumberFormat="1" applyFont="1" applyBorder="1" applyAlignment="1">
      <alignment horizontal="right" vertical="center"/>
    </xf>
    <xf numFmtId="0" fontId="38" fillId="0" borderId="80" xfId="52" applyFont="1" applyBorder="1" applyAlignment="1">
      <alignment vertical="top" wrapText="1"/>
    </xf>
    <xf numFmtId="0" fontId="30" fillId="14" borderId="80" xfId="52" applyFont="1" applyFill="1" applyBorder="1" applyAlignment="1">
      <alignment vertical="center" shrinkToFit="1"/>
    </xf>
    <xf numFmtId="0" fontId="93" fillId="0" borderId="0" xfId="0" applyFont="1"/>
    <xf numFmtId="175" fontId="91" fillId="9" borderId="116" xfId="59" applyNumberFormat="1" applyFont="1" applyFill="1" applyBorder="1" applyAlignment="1" applyProtection="1">
      <alignment vertical="center"/>
    </xf>
    <xf numFmtId="0" fontId="30" fillId="0" borderId="116" xfId="52" applyFont="1" applyBorder="1" applyAlignment="1">
      <alignment horizontal="left" vertical="center"/>
    </xf>
    <xf numFmtId="0" fontId="30" fillId="0" borderId="116" xfId="52" applyFont="1" applyBorder="1" applyAlignment="1">
      <alignment horizontal="center" vertical="center"/>
    </xf>
    <xf numFmtId="38" fontId="30" fillId="0" borderId="116" xfId="52" applyNumberFormat="1" applyFont="1" applyBorder="1" applyAlignment="1" applyProtection="1">
      <alignment vertical="center" shrinkToFit="1"/>
      <protection locked="0"/>
    </xf>
    <xf numFmtId="0" fontId="30" fillId="14" borderId="116" xfId="52" applyFont="1" applyFill="1" applyBorder="1" applyAlignment="1">
      <alignment vertical="center" shrinkToFit="1"/>
    </xf>
    <xf numFmtId="38" fontId="30" fillId="9" borderId="116" xfId="52" applyNumberFormat="1" applyFont="1" applyFill="1" applyBorder="1" applyAlignment="1">
      <alignment vertical="center" shrinkToFit="1"/>
    </xf>
    <xf numFmtId="0" fontId="30" fillId="0" borderId="116" xfId="52" applyFont="1" applyBorder="1" applyAlignment="1">
      <alignment horizontal="center" vertical="top"/>
    </xf>
    <xf numFmtId="0" fontId="38" fillId="0" borderId="116" xfId="52" applyFont="1" applyBorder="1" applyAlignment="1">
      <alignment horizontal="centerContinuous" vertical="center"/>
    </xf>
    <xf numFmtId="0" fontId="30" fillId="0" borderId="116" xfId="52" applyFont="1" applyBorder="1" applyAlignment="1">
      <alignment horizontal="centerContinuous" vertical="center"/>
    </xf>
    <xf numFmtId="0" fontId="38" fillId="0" borderId="116" xfId="52" applyFont="1" applyBorder="1" applyAlignment="1">
      <alignment horizontal="center" vertical="center"/>
    </xf>
    <xf numFmtId="0" fontId="38" fillId="0" borderId="116" xfId="55" quotePrefix="1" applyFont="1" applyBorder="1" applyAlignment="1">
      <alignment horizontal="center" vertical="center"/>
    </xf>
    <xf numFmtId="0" fontId="38" fillId="0" borderId="116" xfId="52" applyFont="1" applyBorder="1" applyAlignment="1">
      <alignment horizontal="center" vertical="center" wrapText="1"/>
    </xf>
    <xf numFmtId="0" fontId="38" fillId="0" borderId="116" xfId="55" applyFont="1" applyBorder="1" applyAlignment="1">
      <alignment horizontal="center" vertical="center" wrapText="1"/>
    </xf>
    <xf numFmtId="38" fontId="30" fillId="9" borderId="141" xfId="52" applyNumberFormat="1" applyFont="1" applyFill="1" applyBorder="1" applyAlignment="1">
      <alignment vertical="center" shrinkToFit="1"/>
    </xf>
    <xf numFmtId="0" fontId="30" fillId="14" borderId="135" xfId="52" applyFont="1" applyFill="1" applyBorder="1" applyAlignment="1">
      <alignment vertical="center" shrinkToFit="1"/>
    </xf>
    <xf numFmtId="0" fontId="30" fillId="0" borderId="122" xfId="52" applyFont="1" applyBorder="1" applyAlignment="1">
      <alignment horizontal="centerContinuous" vertical="center"/>
    </xf>
    <xf numFmtId="0" fontId="38" fillId="0" borderId="122" xfId="52" applyFont="1" applyBorder="1" applyAlignment="1">
      <alignment horizontal="center" vertical="center"/>
    </xf>
    <xf numFmtId="165" fontId="38" fillId="0" borderId="123" xfId="52" applyNumberFormat="1" applyFont="1" applyBorder="1" applyAlignment="1">
      <alignment horizontal="right" vertical="center"/>
    </xf>
    <xf numFmtId="38" fontId="30" fillId="9" borderId="122" xfId="52" applyNumberFormat="1" applyFont="1" applyFill="1" applyBorder="1" applyAlignment="1">
      <alignment vertical="center" shrinkToFit="1"/>
    </xf>
    <xf numFmtId="165" fontId="38" fillId="0" borderId="123" xfId="52" applyNumberFormat="1" applyFont="1" applyBorder="1" applyAlignment="1">
      <alignment vertical="top"/>
    </xf>
    <xf numFmtId="38" fontId="30" fillId="9" borderId="152" xfId="52" applyNumberFormat="1" applyFont="1" applyFill="1" applyBorder="1" applyAlignment="1">
      <alignment vertical="center" shrinkToFit="1"/>
    </xf>
    <xf numFmtId="165" fontId="38" fillId="0" borderId="138" xfId="52" applyNumberFormat="1" applyFont="1" applyBorder="1" applyAlignment="1">
      <alignment horizontal="right"/>
    </xf>
    <xf numFmtId="165" fontId="38" fillId="0" borderId="138" xfId="52" applyNumberFormat="1" applyFont="1" applyBorder="1" applyAlignment="1">
      <alignment horizontal="right" vertical="center"/>
    </xf>
    <xf numFmtId="38" fontId="30" fillId="9" borderId="137" xfId="52" applyNumberFormat="1" applyFont="1" applyFill="1" applyBorder="1" applyAlignment="1">
      <alignment vertical="center" shrinkToFit="1"/>
    </xf>
    <xf numFmtId="0" fontId="38" fillId="0" borderId="128" xfId="52" applyFont="1" applyBorder="1" applyAlignment="1">
      <alignment horizontal="left" vertical="center"/>
    </xf>
    <xf numFmtId="0" fontId="30" fillId="0" borderId="96" xfId="52" applyFont="1" applyBorder="1" applyAlignment="1">
      <alignment vertical="center"/>
    </xf>
    <xf numFmtId="0" fontId="30" fillId="0" borderId="124" xfId="52" applyFont="1" applyBorder="1" applyAlignment="1">
      <alignment horizontal="center" vertical="center"/>
    </xf>
    <xf numFmtId="0" fontId="92" fillId="0" borderId="0" xfId="0" applyFont="1"/>
    <xf numFmtId="0" fontId="30" fillId="0" borderId="52" xfId="0" applyFont="1" applyBorder="1" applyProtection="1">
      <protection locked="0"/>
    </xf>
    <xf numFmtId="0" fontId="30" fillId="0" borderId="123" xfId="0" applyFont="1" applyBorder="1" applyAlignment="1" applyProtection="1">
      <alignment vertical="center"/>
      <protection hidden="1"/>
    </xf>
    <xf numFmtId="0" fontId="30" fillId="0" borderId="116" xfId="0" applyFont="1" applyBorder="1" applyAlignment="1" applyProtection="1">
      <alignment vertical="center"/>
      <protection hidden="1"/>
    </xf>
    <xf numFmtId="0" fontId="30" fillId="0" borderId="122" xfId="0" applyFont="1" applyBorder="1" applyAlignment="1" applyProtection="1">
      <alignment vertical="center"/>
      <protection hidden="1"/>
    </xf>
    <xf numFmtId="0" fontId="30" fillId="0" borderId="121" xfId="0" applyFont="1" applyBorder="1" applyAlignment="1" applyProtection="1">
      <alignment vertical="center"/>
      <protection hidden="1"/>
    </xf>
    <xf numFmtId="0" fontId="30" fillId="0" borderId="120" xfId="0" applyFont="1" applyBorder="1" applyAlignment="1" applyProtection="1">
      <alignment vertical="center"/>
      <protection hidden="1"/>
    </xf>
    <xf numFmtId="0" fontId="30" fillId="0" borderId="119" xfId="0" applyFont="1" applyBorder="1" applyAlignment="1" applyProtection="1">
      <alignment vertical="center"/>
      <protection hidden="1"/>
    </xf>
    <xf numFmtId="38" fontId="29" fillId="3" borderId="8" xfId="11" applyNumberFormat="1" applyFont="1" applyFill="1" applyBorder="1" applyAlignment="1" applyProtection="1">
      <alignment horizontal="right"/>
      <protection locked="0"/>
    </xf>
    <xf numFmtId="38" fontId="29" fillId="3" borderId="8" xfId="17" applyNumberFormat="1" applyFont="1" applyFill="1" applyBorder="1" applyAlignment="1" applyProtection="1">
      <alignment horizontal="right"/>
      <protection locked="0"/>
    </xf>
    <xf numFmtId="0" fontId="9" fillId="0" borderId="116" xfId="0" applyFont="1" applyBorder="1" applyProtection="1">
      <protection locked="0"/>
    </xf>
    <xf numFmtId="0" fontId="27" fillId="0" borderId="0" xfId="0" applyFont="1" applyAlignment="1">
      <alignment horizontal="center" vertical="center"/>
    </xf>
    <xf numFmtId="0" fontId="29" fillId="0" borderId="0" xfId="0" applyFont="1" applyAlignment="1">
      <alignment horizontal="center" vertical="center"/>
    </xf>
    <xf numFmtId="0" fontId="37" fillId="0" borderId="0" xfId="0" applyFont="1" applyAlignment="1">
      <alignment horizontal="center" vertical="center"/>
    </xf>
    <xf numFmtId="38" fontId="36" fillId="0" borderId="65" xfId="0" applyNumberFormat="1" applyFont="1" applyBorder="1" applyAlignment="1">
      <alignment horizontal="left" vertical="center" wrapText="1" indent="1"/>
    </xf>
    <xf numFmtId="0" fontId="25" fillId="0" borderId="64" xfId="0" applyFont="1" applyBorder="1" applyAlignment="1">
      <alignment horizontal="left" vertical="center" wrapText="1" indent="1"/>
    </xf>
    <xf numFmtId="0" fontId="25" fillId="0" borderId="66" xfId="0" applyFont="1" applyBorder="1" applyAlignment="1">
      <alignment horizontal="left" vertical="center" wrapText="1" indent="1"/>
    </xf>
    <xf numFmtId="0" fontId="25" fillId="0" borderId="67"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68" xfId="0" applyFont="1" applyBorder="1" applyAlignment="1">
      <alignment horizontal="left" vertical="center" wrapText="1" indent="1"/>
    </xf>
    <xf numFmtId="0" fontId="25" fillId="0" borderId="69" xfId="0" applyFont="1" applyBorder="1" applyAlignment="1">
      <alignment horizontal="left" vertical="center" wrapText="1" indent="1"/>
    </xf>
    <xf numFmtId="0" fontId="25" fillId="0" borderId="63" xfId="0" applyFont="1" applyBorder="1" applyAlignment="1">
      <alignment horizontal="left" vertical="center" wrapText="1" indent="1"/>
    </xf>
    <xf numFmtId="0" fontId="25" fillId="0" borderId="70" xfId="0" applyFont="1" applyBorder="1" applyAlignment="1">
      <alignment horizontal="left" vertical="center" wrapText="1" indent="1"/>
    </xf>
    <xf numFmtId="0" fontId="27" fillId="0" borderId="97" xfId="0" applyFont="1" applyBorder="1" applyAlignment="1" applyProtection="1">
      <alignment horizontal="center" vertical="center"/>
      <protection locked="0"/>
    </xf>
    <xf numFmtId="0" fontId="27" fillId="0" borderId="111" xfId="0" applyFont="1" applyBorder="1" applyAlignment="1" applyProtection="1">
      <alignment horizontal="center" vertical="center"/>
      <protection locked="0"/>
    </xf>
    <xf numFmtId="0" fontId="27" fillId="0" borderId="112" xfId="0" applyFont="1" applyBorder="1" applyAlignment="1" applyProtection="1">
      <alignment horizontal="center" vertical="center"/>
      <protection locked="0"/>
    </xf>
    <xf numFmtId="49" fontId="29" fillId="0" borderId="52" xfId="0" applyNumberFormat="1" applyFont="1" applyBorder="1" applyAlignment="1" applyProtection="1">
      <alignment horizontal="center"/>
      <protection locked="0"/>
    </xf>
    <xf numFmtId="0" fontId="30" fillId="0" borderId="52" xfId="0" applyFont="1" applyBorder="1" applyAlignment="1" applyProtection="1">
      <alignment horizontal="center"/>
      <protection locked="0"/>
    </xf>
    <xf numFmtId="0" fontId="37" fillId="0" borderId="0" xfId="0" applyFont="1" applyAlignment="1">
      <alignment horizontal="right" vertical="center"/>
    </xf>
    <xf numFmtId="49" fontId="43" fillId="0" borderId="49" xfId="0" applyNumberFormat="1" applyFont="1" applyBorder="1" applyAlignment="1">
      <alignment horizontal="center" vertical="top"/>
    </xf>
    <xf numFmtId="164" fontId="27" fillId="19" borderId="53" xfId="0" applyNumberFormat="1" applyFont="1" applyFill="1" applyBorder="1" applyAlignment="1">
      <alignment horizontal="center"/>
    </xf>
    <xf numFmtId="0" fontId="30" fillId="0" borderId="33" xfId="0" applyFont="1" applyBorder="1" applyAlignment="1" applyProtection="1">
      <alignment horizontal="center"/>
      <protection locked="0"/>
    </xf>
    <xf numFmtId="0" fontId="30" fillId="0" borderId="7" xfId="0" applyFont="1" applyBorder="1" applyAlignment="1" applyProtection="1">
      <alignment horizontal="left" vertical="center"/>
      <protection locked="0"/>
    </xf>
    <xf numFmtId="0" fontId="30" fillId="0" borderId="25" xfId="0" applyFont="1" applyBorder="1" applyAlignment="1" applyProtection="1">
      <alignment horizontal="left" vertical="center"/>
      <protection locked="0"/>
    </xf>
    <xf numFmtId="0" fontId="30" fillId="0" borderId="16" xfId="0" applyFont="1" applyBorder="1" applyAlignment="1" applyProtection="1">
      <alignment horizontal="left" vertical="center"/>
      <protection locked="0"/>
    </xf>
    <xf numFmtId="167" fontId="30" fillId="19" borderId="52" xfId="0" applyNumberFormat="1" applyFont="1" applyFill="1" applyBorder="1" applyAlignment="1">
      <alignment horizontal="center"/>
    </xf>
    <xf numFmtId="0" fontId="84" fillId="0" borderId="0" xfId="0" applyFont="1" applyAlignment="1">
      <alignment horizontal="center" vertical="center" readingOrder="1"/>
    </xf>
    <xf numFmtId="0" fontId="30" fillId="0" borderId="33" xfId="0" applyFont="1" applyBorder="1" applyAlignment="1" applyProtection="1">
      <alignment horizontal="center" vertical="center"/>
      <protection locked="0"/>
    </xf>
    <xf numFmtId="49" fontId="30" fillId="0" borderId="33" xfId="0" applyNumberFormat="1" applyFont="1" applyBorder="1" applyAlignment="1" applyProtection="1">
      <alignment horizontal="center"/>
      <protection locked="0"/>
    </xf>
    <xf numFmtId="0" fontId="30" fillId="19" borderId="91" xfId="0" applyFont="1" applyFill="1" applyBorder="1" applyAlignment="1">
      <alignment horizontal="center"/>
    </xf>
    <xf numFmtId="0" fontId="30" fillId="19" borderId="52" xfId="0" applyFont="1" applyFill="1" applyBorder="1" applyAlignment="1">
      <alignment horizontal="center"/>
    </xf>
    <xf numFmtId="167" fontId="30" fillId="19" borderId="33" xfId="0" applyNumberFormat="1" applyFont="1" applyFill="1" applyBorder="1" applyAlignment="1">
      <alignment horizontal="center"/>
    </xf>
    <xf numFmtId="0" fontId="30" fillId="9" borderId="95" xfId="0" applyFont="1" applyFill="1" applyBorder="1" applyAlignment="1">
      <alignment horizontal="center"/>
    </xf>
    <xf numFmtId="166" fontId="30" fillId="9" borderId="95" xfId="0" applyNumberFormat="1" applyFont="1" applyFill="1" applyBorder="1" applyAlignment="1">
      <alignment horizontal="center"/>
    </xf>
    <xf numFmtId="49" fontId="45" fillId="0" borderId="0" xfId="0" applyNumberFormat="1" applyFont="1" applyAlignment="1">
      <alignment horizontal="center"/>
    </xf>
    <xf numFmtId="0" fontId="86" fillId="0" borderId="0" xfId="0" applyFont="1" applyAlignment="1">
      <alignment horizontal="center" readingOrder="1"/>
    </xf>
    <xf numFmtId="0" fontId="29" fillId="0" borderId="7" xfId="0" applyFont="1" applyBorder="1" applyAlignment="1">
      <alignment horizontal="center" vertical="center"/>
    </xf>
    <xf numFmtId="0" fontId="30" fillId="0" borderId="25" xfId="0" applyFont="1" applyBorder="1" applyAlignment="1">
      <alignment horizontal="center" vertical="center"/>
    </xf>
    <xf numFmtId="0" fontId="30" fillId="0" borderId="16" xfId="0" applyFont="1" applyBorder="1" applyAlignment="1">
      <alignment horizontal="center" vertical="center"/>
    </xf>
    <xf numFmtId="168" fontId="43" fillId="0" borderId="0" xfId="0" applyNumberFormat="1" applyFont="1" applyAlignment="1">
      <alignment horizontal="left"/>
    </xf>
    <xf numFmtId="0" fontId="43" fillId="0" borderId="0" xfId="0" applyFont="1" applyAlignment="1">
      <alignment horizontal="left"/>
    </xf>
    <xf numFmtId="0" fontId="25" fillId="0" borderId="0" xfId="0" applyFont="1" applyAlignment="1">
      <alignment horizontal="left" vertical="center" wrapText="1"/>
    </xf>
    <xf numFmtId="0" fontId="25" fillId="0" borderId="0" xfId="0" applyFont="1"/>
    <xf numFmtId="0" fontId="29" fillId="0" borderId="7" xfId="0" applyFont="1" applyBorder="1" applyProtection="1">
      <protection locked="0"/>
    </xf>
    <xf numFmtId="0" fontId="30" fillId="0" borderId="25" xfId="0" applyFont="1" applyBorder="1" applyProtection="1">
      <protection locked="0"/>
    </xf>
    <xf numFmtId="0" fontId="30" fillId="0" borderId="16" xfId="0" applyFont="1" applyBorder="1" applyProtection="1">
      <protection locked="0"/>
    </xf>
    <xf numFmtId="0" fontId="28" fillId="4" borderId="21" xfId="34" applyFont="1" applyFill="1" applyBorder="1" applyAlignment="1">
      <alignment horizontal="left" vertical="center" wrapText="1" indent="2"/>
    </xf>
    <xf numFmtId="0" fontId="30" fillId="4" borderId="50" xfId="0" applyFont="1" applyFill="1" applyBorder="1"/>
    <xf numFmtId="0" fontId="28" fillId="4" borderId="28" xfId="34" applyFont="1" applyFill="1" applyBorder="1" applyAlignment="1">
      <alignment horizontal="left" vertical="center" wrapText="1" indent="2"/>
    </xf>
    <xf numFmtId="0" fontId="30" fillId="4" borderId="39" xfId="0" applyFont="1" applyFill="1" applyBorder="1"/>
    <xf numFmtId="0" fontId="27" fillId="4" borderId="24" xfId="34" applyFont="1" applyFill="1" applyBorder="1" applyAlignment="1">
      <alignment horizontal="left" vertical="center" wrapText="1"/>
    </xf>
    <xf numFmtId="0" fontId="29" fillId="4" borderId="51" xfId="0" applyFont="1" applyFill="1" applyBorder="1" applyAlignment="1">
      <alignment horizontal="left"/>
    </xf>
    <xf numFmtId="0" fontId="28" fillId="4" borderId="24" xfId="34" applyFont="1" applyFill="1" applyBorder="1" applyAlignment="1">
      <alignment horizontal="left" vertical="center" wrapText="1" indent="2"/>
    </xf>
    <xf numFmtId="0" fontId="30" fillId="4" borderId="51" xfId="0" applyFont="1" applyFill="1" applyBorder="1"/>
    <xf numFmtId="0" fontId="28" fillId="4" borderId="14" xfId="34" applyFont="1" applyFill="1" applyBorder="1" applyAlignment="1">
      <alignment horizontal="left" vertical="center" wrapText="1" indent="2"/>
    </xf>
    <xf numFmtId="0" fontId="30" fillId="4" borderId="37" xfId="0" applyFont="1" applyFill="1" applyBorder="1"/>
    <xf numFmtId="0" fontId="28" fillId="4" borderId="28" xfId="33" applyFont="1" applyFill="1" applyBorder="1" applyAlignment="1">
      <alignment horizontal="left" vertical="top" wrapText="1" indent="2"/>
    </xf>
    <xf numFmtId="0" fontId="28" fillId="4" borderId="24" xfId="33" applyFont="1" applyFill="1" applyBorder="1" applyAlignment="1">
      <alignment horizontal="left" vertical="top" wrapText="1" indent="2"/>
    </xf>
    <xf numFmtId="49" fontId="27" fillId="11" borderId="14" xfId="21" applyNumberFormat="1" applyFont="1" applyFill="1" applyBorder="1" applyAlignment="1">
      <alignment horizontal="left" vertical="center" wrapText="1"/>
    </xf>
    <xf numFmtId="0" fontId="29" fillId="11" borderId="37" xfId="0" applyFont="1" applyFill="1" applyBorder="1" applyAlignment="1">
      <alignment horizontal="left" vertical="center" wrapText="1"/>
    </xf>
    <xf numFmtId="49" fontId="28" fillId="4" borderId="28" xfId="21" applyNumberFormat="1" applyFont="1" applyFill="1" applyBorder="1" applyAlignment="1">
      <alignment horizontal="left" vertical="center" wrapText="1" indent="2"/>
    </xf>
    <xf numFmtId="0" fontId="30" fillId="4" borderId="39" xfId="0" applyFont="1" applyFill="1" applyBorder="1" applyAlignment="1">
      <alignment horizontal="left" vertical="center" wrapText="1"/>
    </xf>
    <xf numFmtId="0" fontId="27" fillId="11" borderId="14" xfId="0" applyFont="1" applyFill="1" applyBorder="1" applyAlignment="1">
      <alignment vertical="center" wrapText="1"/>
    </xf>
    <xf numFmtId="0" fontId="29" fillId="11" borderId="37" xfId="0" applyFont="1" applyFill="1" applyBorder="1" applyAlignment="1">
      <alignment vertical="center" wrapText="1"/>
    </xf>
    <xf numFmtId="49" fontId="28" fillId="4" borderId="28" xfId="48" applyNumberFormat="1" applyFont="1" applyFill="1" applyBorder="1" applyAlignment="1">
      <alignment horizontal="left" vertical="center" wrapText="1" indent="3"/>
    </xf>
    <xf numFmtId="49" fontId="28" fillId="4" borderId="39" xfId="48" applyNumberFormat="1" applyFont="1" applyFill="1" applyBorder="1" applyAlignment="1">
      <alignment horizontal="left" vertical="center" wrapText="1" indent="3"/>
    </xf>
    <xf numFmtId="3" fontId="28" fillId="0" borderId="92" xfId="0" applyNumberFormat="1" applyFont="1" applyBorder="1" applyAlignment="1">
      <alignment horizontal="left" vertical="top" indent="3"/>
    </xf>
    <xf numFmtId="3" fontId="28" fillId="0" borderId="93" xfId="0" applyNumberFormat="1" applyFont="1" applyBorder="1" applyAlignment="1">
      <alignment horizontal="left" vertical="top" indent="3"/>
    </xf>
    <xf numFmtId="49" fontId="27" fillId="0" borderId="2" xfId="51" applyNumberFormat="1" applyFont="1" applyBorder="1" applyAlignment="1">
      <alignment horizontal="center" vertical="center" wrapText="1"/>
    </xf>
    <xf numFmtId="49" fontId="27" fillId="0" borderId="3" xfId="51" applyNumberFormat="1" applyFont="1" applyBorder="1" applyAlignment="1">
      <alignment horizontal="center" vertical="center" wrapText="1"/>
    </xf>
    <xf numFmtId="49" fontId="28" fillId="4" borderId="28" xfId="45" applyNumberFormat="1" applyFont="1" applyFill="1" applyBorder="1" applyAlignment="1">
      <alignment horizontal="left" vertical="top" wrapText="1" indent="4"/>
    </xf>
    <xf numFmtId="0" fontId="30" fillId="4" borderId="39" xfId="0" applyFont="1" applyFill="1" applyBorder="1" applyAlignment="1">
      <alignment horizontal="left" vertical="top" wrapText="1" indent="3"/>
    </xf>
    <xf numFmtId="49" fontId="28" fillId="4" borderId="28" xfId="41" applyNumberFormat="1" applyFont="1" applyFill="1" applyBorder="1" applyAlignment="1">
      <alignment horizontal="left" vertical="center" wrapText="1" indent="3"/>
    </xf>
    <xf numFmtId="0" fontId="30" fillId="4" borderId="39" xfId="0" applyFont="1" applyFill="1" applyBorder="1" applyAlignment="1">
      <alignment horizontal="left" vertical="center" wrapText="1" indent="2"/>
    </xf>
    <xf numFmtId="49" fontId="28" fillId="0" borderId="21" xfId="39" applyNumberFormat="1" applyFont="1" applyBorder="1" applyAlignment="1">
      <alignment horizontal="left" vertical="top" indent="4"/>
    </xf>
    <xf numFmtId="49" fontId="28" fillId="0" borderId="50" xfId="39" applyNumberFormat="1" applyFont="1" applyBorder="1" applyAlignment="1">
      <alignment horizontal="left" vertical="top" indent="4"/>
    </xf>
    <xf numFmtId="3" fontId="28" fillId="0" borderId="21" xfId="0" applyNumberFormat="1" applyFont="1" applyBorder="1" applyAlignment="1">
      <alignment horizontal="left" vertical="top" indent="4"/>
    </xf>
    <xf numFmtId="3" fontId="28" fillId="0" borderId="50" xfId="0" applyNumberFormat="1" applyFont="1" applyBorder="1" applyAlignment="1">
      <alignment horizontal="left" vertical="top" indent="4"/>
    </xf>
    <xf numFmtId="0" fontId="38" fillId="10" borderId="7" xfId="0" applyFont="1" applyFill="1" applyBorder="1" applyAlignment="1">
      <alignment horizontal="center" vertical="center"/>
    </xf>
    <xf numFmtId="0" fontId="38" fillId="10" borderId="25" xfId="0" applyFont="1" applyFill="1" applyBorder="1" applyAlignment="1">
      <alignment horizontal="center" vertical="center"/>
    </xf>
    <xf numFmtId="0" fontId="38" fillId="10" borderId="16" xfId="0" applyFont="1" applyFill="1" applyBorder="1" applyAlignment="1">
      <alignment horizontal="center" vertical="center"/>
    </xf>
    <xf numFmtId="0" fontId="30" fillId="0" borderId="0" xfId="0" applyFont="1" applyAlignment="1">
      <alignment wrapText="1"/>
    </xf>
    <xf numFmtId="0" fontId="55" fillId="0" borderId="71" xfId="0" applyFont="1" applyBorder="1" applyAlignment="1">
      <alignment horizontal="left" vertical="center" wrapText="1" indent="1"/>
    </xf>
    <xf numFmtId="0" fontId="55" fillId="0" borderId="72" xfId="0" applyFont="1" applyBorder="1" applyAlignment="1">
      <alignment horizontal="left" wrapText="1" indent="1"/>
    </xf>
    <xf numFmtId="0" fontId="55" fillId="0" borderId="73" xfId="0" applyFont="1" applyBorder="1" applyAlignment="1">
      <alignment horizontal="left" wrapText="1" indent="1"/>
    </xf>
    <xf numFmtId="0" fontId="52" fillId="0" borderId="0" xfId="0" applyFont="1" applyAlignment="1">
      <alignment horizontal="left" vertical="center" wrapText="1"/>
    </xf>
    <xf numFmtId="0" fontId="54" fillId="0" borderId="0" xfId="0" applyFont="1" applyAlignment="1">
      <alignment horizontal="left" vertical="center" wrapText="1"/>
    </xf>
    <xf numFmtId="0" fontId="43" fillId="0" borderId="0" xfId="0" applyFont="1"/>
    <xf numFmtId="0" fontId="43" fillId="0" borderId="98" xfId="0" applyFont="1" applyBorder="1" applyAlignment="1">
      <alignment wrapText="1"/>
    </xf>
    <xf numFmtId="0" fontId="43" fillId="0" borderId="0" xfId="0" applyFont="1" applyAlignment="1">
      <alignment vertical="top" wrapText="1"/>
    </xf>
    <xf numFmtId="0" fontId="43" fillId="0" borderId="0" xfId="0" applyFont="1" applyAlignment="1">
      <alignment horizontal="left" vertical="top" wrapText="1"/>
    </xf>
    <xf numFmtId="0" fontId="38" fillId="13" borderId="38"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36" xfId="0" applyFont="1" applyFill="1" applyBorder="1" applyAlignment="1">
      <alignment horizontal="center" vertical="center"/>
    </xf>
    <xf numFmtId="0" fontId="54" fillId="13" borderId="12" xfId="0" applyFont="1" applyFill="1" applyBorder="1" applyAlignment="1">
      <alignment horizontal="right" vertical="center" indent="1"/>
    </xf>
    <xf numFmtId="0" fontId="30" fillId="13" borderId="0" xfId="0" applyFont="1" applyFill="1" applyAlignment="1">
      <alignment horizontal="right" vertical="center"/>
    </xf>
    <xf numFmtId="0" fontId="38" fillId="14" borderId="12" xfId="0" applyFont="1" applyFill="1" applyBorder="1" applyAlignment="1">
      <alignment horizontal="center" vertical="center"/>
    </xf>
    <xf numFmtId="0" fontId="38" fillId="14" borderId="0" xfId="0" applyFont="1" applyFill="1" applyAlignment="1">
      <alignment horizontal="center" vertical="center"/>
    </xf>
    <xf numFmtId="0" fontId="38" fillId="14" borderId="13" xfId="0" applyFont="1" applyFill="1" applyBorder="1" applyAlignment="1">
      <alignment horizontal="center" vertical="center"/>
    </xf>
    <xf numFmtId="0" fontId="38" fillId="14" borderId="12" xfId="0" applyFont="1" applyFill="1" applyBorder="1" applyAlignment="1">
      <alignment horizontal="center" vertical="center" wrapText="1"/>
    </xf>
    <xf numFmtId="0" fontId="38" fillId="14" borderId="0" xfId="0" applyFont="1" applyFill="1" applyAlignment="1">
      <alignment horizontal="center" vertical="center" wrapText="1"/>
    </xf>
    <xf numFmtId="0" fontId="38" fillId="14" borderId="13" xfId="0" applyFont="1" applyFill="1" applyBorder="1" applyAlignment="1">
      <alignment horizontal="center" vertical="center" wrapText="1"/>
    </xf>
    <xf numFmtId="0" fontId="38" fillId="13" borderId="12" xfId="0" applyFont="1" applyFill="1" applyBorder="1" applyAlignment="1">
      <alignment horizontal="center" vertical="center" wrapText="1"/>
    </xf>
    <xf numFmtId="0" fontId="30" fillId="13" borderId="0" xfId="0" applyFont="1" applyFill="1" applyAlignment="1">
      <alignment horizontal="center" vertical="center" wrapText="1"/>
    </xf>
    <xf numFmtId="0" fontId="38" fillId="13" borderId="0" xfId="0" applyFont="1" applyFill="1" applyAlignment="1">
      <alignment horizontal="center" vertical="center"/>
    </xf>
    <xf numFmtId="0" fontId="30" fillId="13" borderId="0" xfId="0" applyFont="1" applyFill="1" applyAlignment="1">
      <alignment horizontal="center" vertical="center"/>
    </xf>
    <xf numFmtId="0" fontId="30" fillId="14" borderId="0" xfId="0" applyFont="1" applyFill="1" applyAlignment="1">
      <alignment horizontal="center" vertical="center"/>
    </xf>
    <xf numFmtId="0" fontId="30" fillId="14" borderId="13" xfId="0" applyFont="1" applyFill="1" applyBorder="1" applyAlignment="1">
      <alignment horizontal="center" vertical="center"/>
    </xf>
    <xf numFmtId="0" fontId="38" fillId="13" borderId="12" xfId="0" applyFont="1" applyFill="1" applyBorder="1" applyAlignment="1">
      <alignment horizontal="center" vertical="center"/>
    </xf>
    <xf numFmtId="0" fontId="30" fillId="13" borderId="13" xfId="0" applyFont="1" applyFill="1" applyBorder="1" applyAlignment="1">
      <alignment horizontal="center" vertical="center"/>
    </xf>
    <xf numFmtId="0" fontId="27" fillId="9" borderId="7" xfId="0" applyFont="1" applyFill="1" applyBorder="1" applyAlignment="1">
      <alignment horizontal="left" vertical="center" wrapText="1" indent="3"/>
    </xf>
    <xf numFmtId="0" fontId="29" fillId="9" borderId="16" xfId="0" applyFont="1" applyFill="1" applyBorder="1" applyAlignment="1">
      <alignment horizontal="left" vertical="center" wrapText="1" indent="3"/>
    </xf>
    <xf numFmtId="0" fontId="38" fillId="13" borderId="0" xfId="0" applyFont="1" applyFill="1" applyAlignment="1">
      <alignment horizontal="center" vertical="center" wrapText="1"/>
    </xf>
    <xf numFmtId="0" fontId="30" fillId="14" borderId="0" xfId="0" applyFont="1" applyFill="1" applyAlignment="1">
      <alignment horizontal="center" vertical="center" wrapText="1"/>
    </xf>
    <xf numFmtId="0" fontId="30" fillId="14" borderId="13" xfId="0" applyFont="1" applyFill="1" applyBorder="1" applyAlignment="1">
      <alignment horizontal="center" vertical="center" wrapText="1"/>
    </xf>
    <xf numFmtId="0" fontId="28" fillId="4" borderId="74" xfId="0" applyFont="1" applyFill="1" applyBorder="1" applyAlignment="1">
      <alignment horizontal="left" vertical="center" wrapText="1" indent="2"/>
    </xf>
    <xf numFmtId="0" fontId="28" fillId="4" borderId="75" xfId="0" applyFont="1" applyFill="1" applyBorder="1" applyAlignment="1">
      <alignment horizontal="left" vertical="center" wrapText="1" indent="2"/>
    </xf>
    <xf numFmtId="0" fontId="28" fillId="4" borderId="74" xfId="0" applyFont="1" applyFill="1" applyBorder="1" applyAlignment="1">
      <alignment horizontal="left" vertical="center" wrapText="1" indent="3"/>
    </xf>
    <xf numFmtId="0" fontId="28" fillId="4" borderId="75" xfId="0" applyFont="1" applyFill="1" applyBorder="1" applyAlignment="1">
      <alignment horizontal="left" vertical="center" wrapText="1" indent="3"/>
    </xf>
    <xf numFmtId="0" fontId="28" fillId="4" borderId="28" xfId="0" applyFont="1" applyFill="1" applyBorder="1" applyAlignment="1">
      <alignment horizontal="left" vertical="center" wrapText="1" indent="1"/>
    </xf>
    <xf numFmtId="0" fontId="28" fillId="4" borderId="39" xfId="0" applyFont="1" applyFill="1" applyBorder="1" applyAlignment="1">
      <alignment horizontal="left" vertical="center" wrapText="1" indent="1"/>
    </xf>
    <xf numFmtId="0" fontId="28" fillId="0" borderId="14" xfId="0" applyFont="1" applyBorder="1" applyAlignment="1">
      <alignment horizontal="left" vertical="center" wrapText="1" indent="1"/>
    </xf>
    <xf numFmtId="0" fontId="28" fillId="0" borderId="37" xfId="0" applyFont="1" applyBorder="1" applyAlignment="1">
      <alignment horizontal="left" vertical="center" wrapText="1" indent="1"/>
    </xf>
    <xf numFmtId="0" fontId="3" fillId="20" borderId="0" xfId="60" applyFont="1" applyFill="1" applyAlignment="1">
      <alignment horizontal="left" vertical="top" wrapText="1"/>
    </xf>
    <xf numFmtId="0" fontId="6" fillId="20" borderId="0" xfId="60" applyFill="1" applyAlignment="1">
      <alignment horizontal="left" vertical="top" wrapText="1"/>
    </xf>
    <xf numFmtId="0" fontId="6" fillId="20" borderId="78" xfId="60" applyFill="1" applyBorder="1" applyAlignment="1">
      <alignment horizontal="left" vertical="top" wrapText="1"/>
    </xf>
    <xf numFmtId="0" fontId="95" fillId="20" borderId="129" xfId="60" applyFont="1" applyFill="1" applyBorder="1" applyAlignment="1" applyProtection="1">
      <alignment horizontal="right" vertical="center"/>
      <protection hidden="1"/>
    </xf>
    <xf numFmtId="0" fontId="101" fillId="29" borderId="77" xfId="60" applyFont="1" applyFill="1" applyBorder="1" applyAlignment="1">
      <alignment horizontal="center" vertical="center"/>
    </xf>
    <xf numFmtId="0" fontId="101" fillId="29" borderId="0" xfId="60" applyFont="1" applyFill="1" applyAlignment="1">
      <alignment horizontal="center" vertical="center"/>
    </xf>
    <xf numFmtId="0" fontId="101" fillId="29" borderId="78" xfId="60" applyFont="1" applyFill="1" applyBorder="1" applyAlignment="1">
      <alignment horizontal="center" vertical="center"/>
    </xf>
    <xf numFmtId="0" fontId="39" fillId="29" borderId="77" xfId="60" applyFont="1" applyFill="1" applyBorder="1" applyAlignment="1">
      <alignment horizontal="left" vertical="top" wrapText="1"/>
    </xf>
    <xf numFmtId="0" fontId="39" fillId="29" borderId="0" xfId="60" applyFont="1" applyFill="1" applyAlignment="1">
      <alignment horizontal="left" vertical="top" wrapText="1"/>
    </xf>
    <xf numFmtId="0" fontId="39" fillId="29" borderId="78" xfId="60" applyFont="1" applyFill="1" applyBorder="1" applyAlignment="1">
      <alignment horizontal="left" vertical="top" wrapText="1"/>
    </xf>
    <xf numFmtId="0" fontId="100" fillId="29" borderId="131" xfId="60" applyFont="1" applyFill="1" applyBorder="1" applyAlignment="1">
      <alignment horizontal="center" vertical="center" wrapText="1"/>
    </xf>
    <xf numFmtId="0" fontId="100" fillId="29" borderId="95" xfId="60" applyFont="1" applyFill="1" applyBorder="1" applyAlignment="1">
      <alignment horizontal="center" vertical="center" wrapText="1"/>
    </xf>
    <xf numFmtId="0" fontId="100" fillId="29" borderId="130" xfId="60" applyFont="1" applyFill="1" applyBorder="1" applyAlignment="1">
      <alignment horizontal="center" vertical="center" wrapText="1"/>
    </xf>
    <xf numFmtId="14" fontId="6" fillId="20" borderId="128" xfId="60" applyNumberFormat="1" applyFill="1" applyBorder="1" applyAlignment="1" applyProtection="1">
      <alignment horizontal="center" vertical="center"/>
      <protection locked="0"/>
    </xf>
    <xf numFmtId="0" fontId="6" fillId="20" borderId="124" xfId="60" applyFill="1" applyBorder="1" applyAlignment="1" applyProtection="1">
      <alignment horizontal="center" vertical="center"/>
      <protection locked="0"/>
    </xf>
    <xf numFmtId="0" fontId="37" fillId="30" borderId="141" xfId="60" applyFont="1" applyFill="1" applyBorder="1" applyAlignment="1" applyProtection="1">
      <alignment horizontal="left" vertical="top" wrapText="1"/>
      <protection hidden="1"/>
    </xf>
    <xf numFmtId="0" fontId="95" fillId="32" borderId="132" xfId="60" applyFont="1" applyFill="1" applyBorder="1" applyAlignment="1">
      <alignment horizontal="left" vertical="top" wrapText="1"/>
    </xf>
    <xf numFmtId="0" fontId="95" fillId="32" borderId="95" xfId="60" applyFont="1" applyFill="1" applyBorder="1" applyAlignment="1">
      <alignment horizontal="left" vertical="top" wrapText="1"/>
    </xf>
    <xf numFmtId="0" fontId="95" fillId="32" borderId="133" xfId="60" applyFont="1" applyFill="1" applyBorder="1" applyAlignment="1">
      <alignment horizontal="left" vertical="top" wrapText="1"/>
    </xf>
    <xf numFmtId="0" fontId="103" fillId="30" borderId="139" xfId="60" applyFont="1" applyFill="1" applyBorder="1" applyAlignment="1" applyProtection="1">
      <alignment horizontal="left" vertical="top" wrapText="1"/>
      <protection hidden="1"/>
    </xf>
    <xf numFmtId="0" fontId="103" fillId="30" borderId="0" xfId="60" applyFont="1" applyFill="1" applyAlignment="1" applyProtection="1">
      <alignment horizontal="left" vertical="top" wrapText="1"/>
      <protection hidden="1"/>
    </xf>
    <xf numFmtId="0" fontId="103" fillId="30" borderId="129" xfId="60" applyFont="1" applyFill="1" applyBorder="1" applyAlignment="1" applyProtection="1">
      <alignment horizontal="left" vertical="top" wrapText="1"/>
      <protection hidden="1"/>
    </xf>
    <xf numFmtId="0" fontId="103" fillId="30" borderId="132" xfId="60" applyFont="1" applyFill="1" applyBorder="1" applyAlignment="1" applyProtection="1">
      <alignment horizontal="left" vertical="top" wrapText="1"/>
      <protection hidden="1"/>
    </xf>
    <xf numFmtId="0" fontId="103" fillId="30" borderId="95" xfId="60" applyFont="1" applyFill="1" applyBorder="1" applyAlignment="1" applyProtection="1">
      <alignment horizontal="left" vertical="top" wrapText="1"/>
      <protection hidden="1"/>
    </xf>
    <xf numFmtId="0" fontId="103" fillId="30" borderId="133" xfId="60" applyFont="1" applyFill="1" applyBorder="1" applyAlignment="1" applyProtection="1">
      <alignment horizontal="left" vertical="top" wrapText="1"/>
      <protection hidden="1"/>
    </xf>
    <xf numFmtId="174" fontId="97" fillId="20" borderId="128" xfId="59" applyNumberFormat="1" applyFont="1" applyFill="1" applyBorder="1" applyAlignment="1" applyProtection="1">
      <alignment horizontal="center" vertical="center" wrapText="1"/>
      <protection locked="0"/>
    </xf>
    <xf numFmtId="174" fontId="97" fillId="20" borderId="96" xfId="59" applyNumberFormat="1" applyFont="1" applyFill="1" applyBorder="1" applyAlignment="1" applyProtection="1">
      <alignment horizontal="center" vertical="center" wrapText="1"/>
      <protection locked="0"/>
    </xf>
    <xf numFmtId="0" fontId="4" fillId="20" borderId="0" xfId="60" applyFont="1" applyFill="1" applyAlignment="1">
      <alignment horizontal="left" vertical="top" wrapText="1"/>
    </xf>
    <xf numFmtId="174" fontId="97" fillId="20" borderId="143" xfId="59" applyNumberFormat="1" applyFont="1" applyFill="1" applyBorder="1" applyAlignment="1" applyProtection="1">
      <alignment horizontal="center" vertical="center" wrapText="1"/>
      <protection locked="0"/>
    </xf>
    <xf numFmtId="0" fontId="99" fillId="26" borderId="142" xfId="60" applyFont="1" applyFill="1" applyBorder="1" applyAlignment="1" applyProtection="1">
      <alignment horizontal="center" vertical="center"/>
      <protection hidden="1"/>
    </xf>
    <xf numFmtId="0" fontId="99" fillId="26" borderId="140" xfId="60" applyFont="1" applyFill="1" applyBorder="1" applyAlignment="1" applyProtection="1">
      <alignment horizontal="center" vertical="center"/>
      <protection hidden="1"/>
    </xf>
    <xf numFmtId="0" fontId="99" fillId="26" borderId="127" xfId="60" applyFont="1" applyFill="1" applyBorder="1" applyAlignment="1" applyProtection="1">
      <alignment horizontal="center" vertical="center"/>
      <protection hidden="1"/>
    </xf>
    <xf numFmtId="0" fontId="95" fillId="30" borderId="139" xfId="60" applyFont="1" applyFill="1" applyBorder="1" applyAlignment="1" applyProtection="1">
      <alignment horizontal="left" vertical="top" wrapText="1"/>
      <protection hidden="1"/>
    </xf>
    <xf numFmtId="0" fontId="95" fillId="30" borderId="0" xfId="60" applyFont="1" applyFill="1" applyAlignment="1" applyProtection="1">
      <alignment horizontal="left" vertical="top" wrapText="1"/>
      <protection hidden="1"/>
    </xf>
    <xf numFmtId="0" fontId="95" fillId="30" borderId="129" xfId="60" applyFont="1" applyFill="1" applyBorder="1" applyAlignment="1" applyProtection="1">
      <alignment horizontal="left" vertical="top" wrapText="1"/>
      <protection hidden="1"/>
    </xf>
    <xf numFmtId="0" fontId="95" fillId="30" borderId="132" xfId="60" applyFont="1" applyFill="1" applyBorder="1" applyAlignment="1" applyProtection="1">
      <alignment horizontal="left" vertical="top" wrapText="1"/>
      <protection hidden="1"/>
    </xf>
    <xf numFmtId="0" fontId="95" fillId="30" borderId="95" xfId="60" applyFont="1" applyFill="1" applyBorder="1" applyAlignment="1" applyProtection="1">
      <alignment horizontal="left" vertical="top" wrapText="1"/>
      <protection hidden="1"/>
    </xf>
    <xf numFmtId="0" fontId="95" fillId="30" borderId="133" xfId="60" applyFont="1" applyFill="1" applyBorder="1" applyAlignment="1" applyProtection="1">
      <alignment horizontal="left" vertical="top" wrapText="1"/>
      <protection hidden="1"/>
    </xf>
    <xf numFmtId="0" fontId="39" fillId="20" borderId="135" xfId="60" applyFont="1" applyFill="1" applyBorder="1" applyAlignment="1" applyProtection="1">
      <alignment horizontal="left" vertical="top" wrapText="1"/>
      <protection locked="0"/>
    </xf>
    <xf numFmtId="0" fontId="39" fillId="20" borderId="134" xfId="60" applyFont="1" applyFill="1" applyBorder="1" applyAlignment="1" applyProtection="1">
      <alignment horizontal="left" vertical="top" wrapText="1"/>
      <protection locked="0"/>
    </xf>
    <xf numFmtId="0" fontId="39" fillId="20" borderId="95" xfId="60" applyFont="1" applyFill="1" applyBorder="1" applyAlignment="1" applyProtection="1">
      <alignment horizontal="left" vertical="top" wrapText="1"/>
      <protection locked="0"/>
    </xf>
    <xf numFmtId="0" fontId="39" fillId="20" borderId="130" xfId="60" applyFont="1" applyFill="1" applyBorder="1" applyAlignment="1" applyProtection="1">
      <alignment horizontal="left" vertical="top" wrapText="1"/>
      <protection locked="0"/>
    </xf>
    <xf numFmtId="0" fontId="6" fillId="32" borderId="136" xfId="60" applyFill="1" applyBorder="1" applyAlignment="1" applyProtection="1">
      <alignment horizontal="left" vertical="top" wrapText="1"/>
      <protection hidden="1"/>
    </xf>
    <xf numFmtId="0" fontId="6" fillId="32" borderId="135" xfId="60" applyFill="1" applyBorder="1" applyAlignment="1" applyProtection="1">
      <alignment horizontal="left" vertical="top" wrapText="1"/>
      <protection hidden="1"/>
    </xf>
    <xf numFmtId="0" fontId="6" fillId="32" borderId="137" xfId="60" applyFill="1" applyBorder="1" applyAlignment="1" applyProtection="1">
      <alignment horizontal="left" vertical="top" wrapText="1"/>
      <protection hidden="1"/>
    </xf>
    <xf numFmtId="0" fontId="6" fillId="28" borderId="123" xfId="60" applyFill="1" applyBorder="1" applyAlignment="1" applyProtection="1">
      <alignment horizontal="center"/>
      <protection hidden="1"/>
    </xf>
    <xf numFmtId="0" fontId="6" fillId="28" borderId="117" xfId="60" applyFill="1" applyBorder="1" applyAlignment="1" applyProtection="1">
      <alignment horizontal="center"/>
      <protection hidden="1"/>
    </xf>
    <xf numFmtId="0" fontId="6" fillId="28" borderId="116" xfId="60" applyFill="1" applyBorder="1" applyAlignment="1" applyProtection="1">
      <alignment horizontal="center"/>
      <protection hidden="1"/>
    </xf>
    <xf numFmtId="0" fontId="6" fillId="28" borderId="128" xfId="60" applyFill="1" applyBorder="1" applyAlignment="1" applyProtection="1">
      <alignment horizontal="center"/>
      <protection hidden="1"/>
    </xf>
    <xf numFmtId="0" fontId="6" fillId="28" borderId="122" xfId="60" applyFill="1" applyBorder="1" applyAlignment="1" applyProtection="1">
      <alignment horizontal="center"/>
      <protection hidden="1"/>
    </xf>
    <xf numFmtId="0" fontId="95" fillId="32" borderId="132" xfId="60" applyFont="1" applyFill="1" applyBorder="1" applyAlignment="1" applyProtection="1">
      <alignment horizontal="left" vertical="top" wrapText="1"/>
      <protection hidden="1"/>
    </xf>
    <xf numFmtId="0" fontId="95" fillId="32" borderId="95" xfId="60" applyFont="1" applyFill="1" applyBorder="1" applyAlignment="1" applyProtection="1">
      <alignment horizontal="left" vertical="top" wrapText="1"/>
      <protection hidden="1"/>
    </xf>
    <xf numFmtId="0" fontId="95" fillId="32" borderId="133" xfId="60" applyFont="1" applyFill="1" applyBorder="1" applyAlignment="1" applyProtection="1">
      <alignment horizontal="left" vertical="top" wrapText="1"/>
      <protection hidden="1"/>
    </xf>
    <xf numFmtId="0" fontId="39" fillId="20" borderId="116" xfId="0" applyFont="1" applyFill="1" applyBorder="1" applyAlignment="1">
      <alignment horizontal="left"/>
    </xf>
    <xf numFmtId="0" fontId="39" fillId="20" borderId="122" xfId="0" applyFont="1" applyFill="1" applyBorder="1" applyAlignment="1">
      <alignment horizontal="left"/>
    </xf>
    <xf numFmtId="0" fontId="6" fillId="29" borderId="128" xfId="60" applyFill="1" applyBorder="1" applyAlignment="1">
      <alignment horizontal="left" vertical="top" wrapText="1"/>
    </xf>
    <xf numFmtId="0" fontId="6" fillId="29" borderId="124" xfId="60" applyFill="1" applyBorder="1" applyAlignment="1">
      <alignment horizontal="left" vertical="top" wrapText="1"/>
    </xf>
    <xf numFmtId="0" fontId="6" fillId="32" borderId="123" xfId="60" applyFill="1" applyBorder="1" applyAlignment="1">
      <alignment horizontal="left"/>
    </xf>
    <xf numFmtId="0" fontId="6" fillId="32" borderId="116" xfId="60" applyFill="1" applyBorder="1" applyAlignment="1">
      <alignment horizontal="left"/>
    </xf>
    <xf numFmtId="0" fontId="6" fillId="32" borderId="125" xfId="60" applyFill="1" applyBorder="1" applyAlignment="1">
      <alignment horizontal="left"/>
    </xf>
    <xf numFmtId="0" fontId="6" fillId="32" borderId="96" xfId="60" applyFill="1" applyBorder="1" applyAlignment="1">
      <alignment horizontal="left"/>
    </xf>
    <xf numFmtId="0" fontId="6" fillId="32" borderId="124" xfId="60" applyFill="1" applyBorder="1" applyAlignment="1">
      <alignment horizontal="left"/>
    </xf>
    <xf numFmtId="0" fontId="6" fillId="28" borderId="138" xfId="60" applyFill="1" applyBorder="1" applyAlignment="1" applyProtection="1">
      <alignment horizontal="center"/>
      <protection hidden="1"/>
    </xf>
    <xf numFmtId="0" fontId="6" fillId="28" borderId="131" xfId="60" applyFill="1" applyBorder="1" applyAlignment="1" applyProtection="1">
      <alignment horizontal="center"/>
      <protection hidden="1"/>
    </xf>
    <xf numFmtId="0" fontId="39" fillId="20" borderId="136" xfId="60" applyFont="1" applyFill="1" applyBorder="1" applyAlignment="1" applyProtection="1">
      <alignment horizontal="left" vertical="top" wrapText="1"/>
      <protection locked="0"/>
    </xf>
    <xf numFmtId="0" fontId="39" fillId="20" borderId="132" xfId="60" applyFont="1" applyFill="1" applyBorder="1" applyAlignment="1" applyProtection="1">
      <alignment horizontal="left" vertical="top" wrapText="1"/>
      <protection locked="0"/>
    </xf>
    <xf numFmtId="0" fontId="6" fillId="28" borderId="138" xfId="60" applyFill="1" applyBorder="1" applyAlignment="1">
      <alignment horizontal="center"/>
    </xf>
    <xf numFmtId="0" fontId="6" fillId="28" borderId="77" xfId="60" applyFill="1" applyBorder="1" applyAlignment="1">
      <alignment horizontal="center"/>
    </xf>
    <xf numFmtId="174" fontId="97" fillId="20" borderId="128" xfId="61" applyNumberFormat="1" applyFont="1" applyFill="1" applyBorder="1" applyAlignment="1" applyProtection="1">
      <alignment horizontal="center" vertical="center" wrapText="1"/>
      <protection locked="0"/>
    </xf>
    <xf numFmtId="174" fontId="97" fillId="20" borderId="96" xfId="61" applyNumberFormat="1" applyFont="1" applyFill="1" applyBorder="1" applyAlignment="1" applyProtection="1">
      <alignment horizontal="center" vertical="center" wrapText="1"/>
      <protection locked="0"/>
    </xf>
    <xf numFmtId="174" fontId="97" fillId="20" borderId="124" xfId="61" applyNumberFormat="1" applyFont="1" applyFill="1" applyBorder="1" applyAlignment="1" applyProtection="1">
      <alignment horizontal="center" vertical="center" wrapText="1"/>
      <protection locked="0"/>
    </xf>
    <xf numFmtId="0" fontId="4" fillId="32" borderId="141" xfId="60" applyFont="1" applyFill="1" applyBorder="1" applyAlignment="1" applyProtection="1">
      <alignment horizontal="left" vertical="top" wrapText="1"/>
      <protection hidden="1"/>
    </xf>
    <xf numFmtId="0" fontId="6"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74" fillId="29" borderId="127" xfId="60" applyFont="1" applyFill="1" applyBorder="1" applyAlignment="1">
      <alignment horizontal="center"/>
    </xf>
    <xf numFmtId="0" fontId="74" fillId="29" borderId="117" xfId="60" applyFont="1" applyFill="1" applyBorder="1" applyAlignment="1">
      <alignment horizontal="center"/>
    </xf>
    <xf numFmtId="0" fontId="39" fillId="20" borderId="120" xfId="0" applyFont="1" applyFill="1" applyBorder="1" applyAlignment="1">
      <alignment horizontal="left"/>
    </xf>
    <xf numFmtId="0" fontId="39" fillId="20" borderId="119" xfId="0" applyFont="1" applyFill="1" applyBorder="1" applyAlignment="1">
      <alignment horizontal="left"/>
    </xf>
    <xf numFmtId="0" fontId="74" fillId="29" borderId="126" xfId="60" applyFont="1" applyFill="1" applyBorder="1" applyAlignment="1">
      <alignment horizontal="center"/>
    </xf>
    <xf numFmtId="0" fontId="99" fillId="28" borderId="107" xfId="60" applyFont="1" applyFill="1" applyBorder="1" applyAlignment="1">
      <alignment horizontal="center"/>
    </xf>
    <xf numFmtId="0" fontId="99" fillId="28" borderId="76" xfId="60" applyFont="1" applyFill="1" applyBorder="1" applyAlignment="1">
      <alignment horizontal="center"/>
    </xf>
    <xf numFmtId="0" fontId="74" fillId="30" borderId="123" xfId="60" applyFont="1" applyFill="1" applyBorder="1" applyAlignment="1">
      <alignment horizontal="left" vertical="top"/>
    </xf>
    <xf numFmtId="0" fontId="74" fillId="30" borderId="116" xfId="60" applyFont="1" applyFill="1" applyBorder="1" applyAlignment="1">
      <alignment horizontal="left" vertical="top"/>
    </xf>
    <xf numFmtId="0" fontId="74" fillId="30" borderId="122" xfId="60" applyFont="1" applyFill="1" applyBorder="1" applyAlignment="1">
      <alignment horizontal="left" vertical="top"/>
    </xf>
    <xf numFmtId="0" fontId="6" fillId="32" borderId="135" xfId="60" applyFill="1" applyBorder="1" applyAlignment="1">
      <alignment horizontal="left" vertical="center" wrapText="1"/>
    </xf>
    <xf numFmtId="0" fontId="6" fillId="32" borderId="137" xfId="60" applyFill="1" applyBorder="1" applyAlignment="1">
      <alignment horizontal="left" vertical="center" wrapText="1"/>
    </xf>
    <xf numFmtId="0" fontId="74" fillId="29" borderId="136" xfId="60" applyFont="1" applyFill="1" applyBorder="1" applyAlignment="1">
      <alignment horizontal="left" vertical="top"/>
    </xf>
    <xf numFmtId="0" fontId="74" fillId="29" borderId="137" xfId="60" applyFont="1" applyFill="1" applyBorder="1" applyAlignment="1">
      <alignment horizontal="left" vertical="top"/>
    </xf>
    <xf numFmtId="174" fontId="97" fillId="27" borderId="128" xfId="60" applyNumberFormat="1" applyFont="1" applyFill="1" applyBorder="1" applyAlignment="1" applyProtection="1">
      <alignment horizontal="center" vertical="top"/>
      <protection hidden="1"/>
    </xf>
    <xf numFmtId="174" fontId="97" fillId="27" borderId="143" xfId="60" applyNumberFormat="1" applyFont="1" applyFill="1" applyBorder="1" applyAlignment="1" applyProtection="1">
      <alignment horizontal="center" vertical="top"/>
      <protection hidden="1"/>
    </xf>
    <xf numFmtId="0" fontId="6" fillId="28" borderId="142" xfId="60" applyFill="1" applyBorder="1" applyAlignment="1" applyProtection="1">
      <alignment horizontal="center"/>
      <protection hidden="1"/>
    </xf>
    <xf numFmtId="0" fontId="6" fillId="32" borderId="136" xfId="60" applyFill="1" applyBorder="1" applyAlignment="1">
      <alignment horizontal="left" vertical="top" wrapText="1"/>
    </xf>
    <xf numFmtId="0" fontId="6" fillId="32" borderId="135" xfId="60" applyFill="1" applyBorder="1" applyAlignment="1">
      <alignment horizontal="left" vertical="top" wrapText="1"/>
    </xf>
    <xf numFmtId="0" fontId="6" fillId="32" borderId="137" xfId="60" applyFill="1" applyBorder="1" applyAlignment="1">
      <alignment horizontal="left" vertical="top" wrapText="1"/>
    </xf>
    <xf numFmtId="0" fontId="94" fillId="28" borderId="128" xfId="60" applyFont="1" applyFill="1" applyBorder="1" applyAlignment="1">
      <alignment horizontal="center" vertical="center"/>
    </xf>
    <xf numFmtId="0" fontId="94" fillId="28" borderId="124" xfId="60" applyFont="1" applyFill="1" applyBorder="1" applyAlignment="1">
      <alignment horizontal="center" vertical="center"/>
    </xf>
    <xf numFmtId="0" fontId="94" fillId="28" borderId="95" xfId="60" applyFont="1" applyFill="1" applyBorder="1" applyAlignment="1">
      <alignment horizontal="center" vertical="center"/>
    </xf>
    <xf numFmtId="0" fontId="94" fillId="28" borderId="133" xfId="60" applyFont="1" applyFill="1" applyBorder="1" applyAlignment="1">
      <alignment horizontal="center" vertical="center"/>
    </xf>
    <xf numFmtId="0" fontId="94" fillId="28" borderId="132" xfId="60" applyFont="1" applyFill="1" applyBorder="1" applyAlignment="1">
      <alignment horizontal="center" vertical="center"/>
    </xf>
    <xf numFmtId="0" fontId="94" fillId="28" borderId="130" xfId="60" applyFont="1" applyFill="1" applyBorder="1" applyAlignment="1">
      <alignment horizontal="center" vertical="center"/>
    </xf>
    <xf numFmtId="0" fontId="37" fillId="30" borderId="139" xfId="60" applyFont="1" applyFill="1" applyBorder="1" applyAlignment="1">
      <alignment horizontal="left" vertical="top" wrapText="1"/>
    </xf>
    <xf numFmtId="0" fontId="37" fillId="30" borderId="0" xfId="60" applyFont="1" applyFill="1" applyAlignment="1">
      <alignment horizontal="left" vertical="top" wrapText="1"/>
    </xf>
    <xf numFmtId="0" fontId="37" fillId="30" borderId="78" xfId="60" applyFont="1" applyFill="1" applyBorder="1" applyAlignment="1">
      <alignment horizontal="left" vertical="top" wrapText="1"/>
    </xf>
    <xf numFmtId="0" fontId="6" fillId="32" borderId="116" xfId="60" applyFill="1" applyBorder="1" applyAlignment="1">
      <alignment horizontal="left" vertical="top" wrapText="1"/>
    </xf>
    <xf numFmtId="0" fontId="37" fillId="30" borderId="129" xfId="60" applyFont="1" applyFill="1" applyBorder="1" applyAlignment="1">
      <alignment horizontal="left" vertical="top" wrapText="1"/>
    </xf>
    <xf numFmtId="0" fontId="6" fillId="31" borderId="128" xfId="60" applyFill="1" applyBorder="1" applyAlignment="1" applyProtection="1">
      <alignment horizontal="center" vertical="center" wrapText="1"/>
      <protection locked="0"/>
    </xf>
    <xf numFmtId="0" fontId="6" fillId="31" borderId="124" xfId="60" applyFill="1" applyBorder="1" applyAlignment="1" applyProtection="1">
      <alignment horizontal="center" vertical="center" wrapText="1"/>
      <protection locked="0"/>
    </xf>
    <xf numFmtId="0" fontId="6" fillId="31" borderId="96" xfId="60" applyFill="1" applyBorder="1" applyAlignment="1" applyProtection="1">
      <alignment horizontal="center" vertical="center" wrapText="1"/>
      <protection locked="0"/>
    </xf>
    <xf numFmtId="0" fontId="94" fillId="28" borderId="96" xfId="60" applyFont="1" applyFill="1" applyBorder="1" applyAlignment="1">
      <alignment horizontal="center" vertical="center"/>
    </xf>
    <xf numFmtId="0" fontId="94" fillId="28" borderId="143" xfId="60" applyFont="1" applyFill="1" applyBorder="1" applyAlignment="1">
      <alignment horizontal="center" vertical="center"/>
    </xf>
    <xf numFmtId="0" fontId="6" fillId="31" borderId="143" xfId="60" applyFill="1" applyBorder="1" applyAlignment="1" applyProtection="1">
      <alignment horizontal="center" vertical="center" wrapText="1"/>
      <protection locked="0"/>
    </xf>
    <xf numFmtId="0" fontId="109" fillId="28" borderId="108" xfId="60" applyFont="1" applyFill="1" applyBorder="1" applyAlignment="1">
      <alignment horizontal="center" vertical="center"/>
    </xf>
    <xf numFmtId="0" fontId="109" fillId="28" borderId="107" xfId="60" applyFont="1" applyFill="1" applyBorder="1" applyAlignment="1">
      <alignment horizontal="center" vertical="center"/>
    </xf>
    <xf numFmtId="0" fontId="109" fillId="28" borderId="76" xfId="60" applyFont="1" applyFill="1" applyBorder="1" applyAlignment="1">
      <alignment horizontal="center" vertical="center"/>
    </xf>
    <xf numFmtId="0" fontId="39" fillId="29" borderId="77" xfId="60" applyFont="1" applyFill="1" applyBorder="1" applyAlignment="1">
      <alignment horizontal="left" vertical="center" wrapText="1"/>
    </xf>
    <xf numFmtId="0" fontId="39" fillId="29" borderId="0" xfId="60" applyFont="1" applyFill="1" applyAlignment="1">
      <alignment horizontal="left" vertical="center" wrapText="1"/>
    </xf>
    <xf numFmtId="0" fontId="39" fillId="29" borderId="78" xfId="60" applyFont="1" applyFill="1" applyBorder="1" applyAlignment="1">
      <alignment horizontal="left" vertical="center" wrapText="1"/>
    </xf>
    <xf numFmtId="0" fontId="108" fillId="29" borderId="77" xfId="60" applyFont="1" applyFill="1" applyBorder="1" applyAlignment="1">
      <alignment horizontal="center" vertical="center" wrapText="1"/>
    </xf>
    <xf numFmtId="0" fontId="30" fillId="29" borderId="0" xfId="60" applyFont="1" applyFill="1" applyAlignment="1">
      <alignment horizontal="center" vertical="center" wrapText="1"/>
    </xf>
    <xf numFmtId="0" fontId="30" fillId="29" borderId="78" xfId="60" applyFont="1" applyFill="1" applyBorder="1" applyAlignment="1">
      <alignment horizontal="center" vertical="center" wrapText="1"/>
    </xf>
    <xf numFmtId="0" fontId="37" fillId="30" borderId="116" xfId="60" applyFont="1" applyFill="1" applyBorder="1" applyAlignment="1">
      <alignment horizontal="left" vertical="center" wrapText="1"/>
    </xf>
    <xf numFmtId="0" fontId="37" fillId="30" borderId="128" xfId="60" applyFont="1" applyFill="1" applyBorder="1" applyAlignment="1">
      <alignment horizontal="left" vertical="center" wrapText="1"/>
    </xf>
    <xf numFmtId="0" fontId="37" fillId="30" borderId="122" xfId="60" applyFont="1" applyFill="1" applyBorder="1" applyAlignment="1">
      <alignment horizontal="left" vertical="center" wrapText="1"/>
    </xf>
    <xf numFmtId="0" fontId="6" fillId="28" borderId="142" xfId="60" applyFill="1" applyBorder="1" applyAlignment="1">
      <alignment horizontal="center"/>
    </xf>
    <xf numFmtId="0" fontId="6" fillId="28" borderId="140" xfId="60" applyFill="1" applyBorder="1" applyAlignment="1">
      <alignment horizontal="center"/>
    </xf>
    <xf numFmtId="0" fontId="6" fillId="28" borderId="127" xfId="60" applyFill="1" applyBorder="1" applyAlignment="1">
      <alignment horizontal="center"/>
    </xf>
    <xf numFmtId="0" fontId="2" fillId="20" borderId="116" xfId="60" applyFont="1" applyFill="1" applyBorder="1" applyAlignment="1" applyProtection="1">
      <alignment horizontal="left" vertical="top" wrapText="1"/>
      <protection locked="0"/>
    </xf>
    <xf numFmtId="0" fontId="6" fillId="20" borderId="116" xfId="60" applyFill="1" applyBorder="1" applyAlignment="1" applyProtection="1">
      <alignment horizontal="left" vertical="top" wrapText="1"/>
      <protection locked="0"/>
    </xf>
    <xf numFmtId="0" fontId="6" fillId="20" borderId="128" xfId="60" applyFill="1" applyBorder="1" applyAlignment="1" applyProtection="1">
      <alignment horizontal="left" vertical="top" wrapText="1"/>
      <protection locked="0"/>
    </xf>
    <xf numFmtId="0" fontId="6" fillId="20" borderId="122" xfId="60" applyFill="1" applyBorder="1" applyAlignment="1" applyProtection="1">
      <alignment horizontal="left" vertical="top" wrapText="1"/>
      <protection locked="0"/>
    </xf>
    <xf numFmtId="0" fontId="109" fillId="28" borderId="77" xfId="60" applyFont="1" applyFill="1" applyBorder="1" applyAlignment="1">
      <alignment horizontal="center" vertical="center"/>
    </xf>
    <xf numFmtId="0" fontId="109" fillId="28" borderId="0" xfId="60" applyFont="1" applyFill="1" applyAlignment="1">
      <alignment horizontal="center" vertical="center"/>
    </xf>
    <xf numFmtId="0" fontId="109" fillId="28" borderId="78" xfId="60" applyFont="1" applyFill="1" applyBorder="1" applyAlignment="1">
      <alignment horizontal="center" vertical="center"/>
    </xf>
    <xf numFmtId="0" fontId="97" fillId="30" borderId="128" xfId="60" applyFont="1" applyFill="1" applyBorder="1" applyAlignment="1">
      <alignment horizontal="center" vertical="center" wrapText="1"/>
    </xf>
    <xf numFmtId="0" fontId="97" fillId="30" borderId="128" xfId="60" applyFont="1" applyFill="1" applyBorder="1" applyAlignment="1">
      <alignment horizontal="center" vertical="center"/>
    </xf>
    <xf numFmtId="0" fontId="94" fillId="18" borderId="131" xfId="60" applyFont="1" applyFill="1" applyBorder="1" applyAlignment="1">
      <alignment horizontal="center" vertical="center" wrapText="1"/>
    </xf>
    <xf numFmtId="0" fontId="94" fillId="18" borderId="95" xfId="60" applyFont="1" applyFill="1" applyBorder="1" applyAlignment="1">
      <alignment horizontal="center" vertical="center" wrapText="1"/>
    </xf>
    <xf numFmtId="0" fontId="94" fillId="18" borderId="130" xfId="60" applyFont="1" applyFill="1" applyBorder="1" applyAlignment="1">
      <alignment horizontal="center" vertical="center" wrapText="1"/>
    </xf>
    <xf numFmtId="174" fontId="97" fillId="18" borderId="136" xfId="61" applyNumberFormat="1" applyFont="1" applyFill="1" applyBorder="1" applyAlignment="1" applyProtection="1">
      <alignment horizontal="center" vertical="top"/>
      <protection locked="0"/>
    </xf>
    <xf numFmtId="174" fontId="97" fillId="18" borderId="134" xfId="61" applyNumberFormat="1" applyFont="1" applyFill="1" applyBorder="1" applyAlignment="1" applyProtection="1">
      <alignment horizontal="center" vertical="top"/>
      <protection locked="0"/>
    </xf>
    <xf numFmtId="0" fontId="74" fillId="18" borderId="136" xfId="60" applyFont="1" applyFill="1" applyBorder="1" applyAlignment="1">
      <alignment horizontal="left" vertical="top"/>
    </xf>
    <xf numFmtId="0" fontId="74" fillId="18" borderId="137" xfId="60" applyFont="1" applyFill="1" applyBorder="1" applyAlignment="1">
      <alignment horizontal="left" vertical="top"/>
    </xf>
    <xf numFmtId="0" fontId="99" fillId="26" borderId="142" xfId="60" applyFont="1" applyFill="1" applyBorder="1" applyAlignment="1">
      <alignment horizontal="center" vertical="center"/>
    </xf>
    <xf numFmtId="0" fontId="99" fillId="26" borderId="140" xfId="60" applyFont="1" applyFill="1" applyBorder="1" applyAlignment="1">
      <alignment horizontal="center" vertical="center"/>
    </xf>
    <xf numFmtId="0" fontId="99" fillId="26" borderId="127" xfId="60" applyFont="1" applyFill="1" applyBorder="1" applyAlignment="1">
      <alignment horizontal="center" vertical="center"/>
    </xf>
    <xf numFmtId="0" fontId="37" fillId="30" borderId="136" xfId="60" applyFont="1" applyFill="1" applyBorder="1" applyAlignment="1">
      <alignment horizontal="left" vertical="top" wrapText="1"/>
    </xf>
    <xf numFmtId="0" fontId="37" fillId="30" borderId="135" xfId="60" applyFont="1" applyFill="1" applyBorder="1" applyAlignment="1">
      <alignment horizontal="left" vertical="top" wrapText="1"/>
    </xf>
    <xf numFmtId="0" fontId="37" fillId="30" borderId="137" xfId="60" applyFont="1" applyFill="1" applyBorder="1" applyAlignment="1">
      <alignment horizontal="left" vertical="top" wrapText="1"/>
    </xf>
    <xf numFmtId="0" fontId="37" fillId="30" borderId="132" xfId="60" applyFont="1" applyFill="1" applyBorder="1" applyAlignment="1">
      <alignment horizontal="left" vertical="top" wrapText="1"/>
    </xf>
    <xf numFmtId="0" fontId="37" fillId="30" borderId="95" xfId="60" applyFont="1" applyFill="1" applyBorder="1" applyAlignment="1">
      <alignment horizontal="left" vertical="top" wrapText="1"/>
    </xf>
    <xf numFmtId="0" fontId="37" fillId="30" borderId="133" xfId="60" applyFont="1" applyFill="1" applyBorder="1" applyAlignment="1">
      <alignment horizontal="left" vertical="top" wrapText="1"/>
    </xf>
    <xf numFmtId="0" fontId="74" fillId="29" borderId="139" xfId="60" applyFont="1" applyFill="1" applyBorder="1" applyAlignment="1">
      <alignment horizontal="left" vertical="top"/>
    </xf>
    <xf numFmtId="0" fontId="74" fillId="29" borderId="129" xfId="60" applyFont="1" applyFill="1" applyBorder="1" applyAlignment="1">
      <alignment horizontal="left" vertical="top"/>
    </xf>
    <xf numFmtId="0" fontId="39" fillId="20" borderId="0" xfId="60" applyFont="1" applyFill="1" applyAlignment="1" applyProtection="1">
      <alignment horizontal="left" vertical="top" wrapText="1"/>
      <protection locked="0"/>
    </xf>
    <xf numFmtId="0" fontId="39" fillId="20" borderId="78" xfId="60" applyFont="1" applyFill="1" applyBorder="1" applyAlignment="1" applyProtection="1">
      <alignment horizontal="left" vertical="top" wrapText="1"/>
      <protection locked="0"/>
    </xf>
    <xf numFmtId="0" fontId="6" fillId="28" borderId="0" xfId="60" applyFill="1" applyAlignment="1">
      <alignment horizontal="center"/>
    </xf>
    <xf numFmtId="0" fontId="6" fillId="28" borderId="78" xfId="60" applyFill="1" applyBorder="1" applyAlignment="1">
      <alignment horizontal="center"/>
    </xf>
    <xf numFmtId="0" fontId="94" fillId="28" borderId="138" xfId="60" applyFont="1" applyFill="1" applyBorder="1" applyAlignment="1">
      <alignment horizontal="center" vertical="center" wrapText="1"/>
    </xf>
    <xf numFmtId="0" fontId="94" fillId="28" borderId="135" xfId="60" applyFont="1" applyFill="1" applyBorder="1" applyAlignment="1">
      <alignment horizontal="center" vertical="center" wrapText="1"/>
    </xf>
    <xf numFmtId="0" fontId="94" fillId="28" borderId="77" xfId="60" applyFont="1" applyFill="1" applyBorder="1" applyAlignment="1">
      <alignment horizontal="center" vertical="center" wrapText="1"/>
    </xf>
    <xf numFmtId="0" fontId="94" fillId="28" borderId="0" xfId="60" applyFont="1" applyFill="1" applyAlignment="1">
      <alignment horizontal="center" vertical="center" wrapText="1"/>
    </xf>
    <xf numFmtId="0" fontId="100" fillId="29" borderId="77" xfId="60" applyFont="1" applyFill="1" applyBorder="1" applyAlignment="1">
      <alignment horizontal="center" vertical="center" wrapText="1"/>
    </xf>
    <xf numFmtId="0" fontId="100" fillId="29" borderId="0" xfId="60" applyFont="1" applyFill="1" applyAlignment="1">
      <alignment horizontal="center" vertical="center" wrapText="1"/>
    </xf>
    <xf numFmtId="0" fontId="100" fillId="29" borderId="78" xfId="60" applyFont="1" applyFill="1" applyBorder="1" applyAlignment="1">
      <alignment horizontal="center" vertical="center" wrapText="1"/>
    </xf>
    <xf numFmtId="0" fontId="37" fillId="30" borderId="128" xfId="60" applyFont="1" applyFill="1" applyBorder="1" applyAlignment="1">
      <alignment horizontal="left" vertical="top" wrapText="1"/>
    </xf>
    <xf numFmtId="0" fontId="37" fillId="30" borderId="96" xfId="60" applyFont="1" applyFill="1" applyBorder="1" applyAlignment="1">
      <alignment horizontal="left" vertical="top" wrapText="1"/>
    </xf>
    <xf numFmtId="0" fontId="37" fillId="30" borderId="124" xfId="60" applyFont="1" applyFill="1" applyBorder="1" applyAlignment="1">
      <alignment horizontal="left" vertical="top" wrapText="1"/>
    </xf>
    <xf numFmtId="0" fontId="99" fillId="26" borderId="77" xfId="60" applyFont="1" applyFill="1" applyBorder="1" applyAlignment="1">
      <alignment horizontal="center" vertical="center" wrapText="1"/>
    </xf>
    <xf numFmtId="0" fontId="4" fillId="32" borderId="138" xfId="60" applyFont="1" applyFill="1" applyBorder="1" applyAlignment="1">
      <alignment horizontal="left" vertical="top" wrapText="1"/>
    </xf>
    <xf numFmtId="174" fontId="6" fillId="0" borderId="116" xfId="60" applyNumberFormat="1" applyBorder="1" applyAlignment="1" applyProtection="1">
      <alignment horizontal="left" vertical="top" wrapText="1"/>
      <protection locked="0"/>
    </xf>
    <xf numFmtId="174" fontId="6" fillId="0" borderId="128" xfId="60" applyNumberFormat="1" applyBorder="1" applyAlignment="1" applyProtection="1">
      <alignment horizontal="left" vertical="top" wrapText="1"/>
      <protection locked="0"/>
    </xf>
    <xf numFmtId="174" fontId="6" fillId="0" borderId="122" xfId="60" applyNumberFormat="1" applyBorder="1" applyAlignment="1" applyProtection="1">
      <alignment horizontal="left" vertical="top" wrapText="1"/>
      <protection locked="0"/>
    </xf>
    <xf numFmtId="0" fontId="95" fillId="32" borderId="132" xfId="60" applyFont="1" applyFill="1" applyBorder="1" applyAlignment="1">
      <alignment horizontal="left" vertical="top"/>
    </xf>
    <xf numFmtId="0" fontId="95" fillId="32" borderId="95" xfId="60" applyFont="1" applyFill="1" applyBorder="1" applyAlignment="1">
      <alignment horizontal="left" vertical="top"/>
    </xf>
    <xf numFmtId="0" fontId="6" fillId="28" borderId="123" xfId="60" applyFill="1" applyBorder="1" applyAlignment="1">
      <alignment horizontal="center"/>
    </xf>
    <xf numFmtId="0" fontId="6" fillId="28" borderId="116" xfId="60" applyFill="1" applyBorder="1" applyAlignment="1">
      <alignment horizontal="center"/>
    </xf>
    <xf numFmtId="0" fontId="6" fillId="28" borderId="128" xfId="60" applyFill="1" applyBorder="1" applyAlignment="1">
      <alignment horizontal="center"/>
    </xf>
    <xf numFmtId="0" fontId="6" fillId="28" borderId="122" xfId="60" applyFill="1" applyBorder="1" applyAlignment="1">
      <alignment horizontal="center"/>
    </xf>
    <xf numFmtId="0" fontId="6" fillId="28" borderId="132" xfId="60" applyFill="1" applyBorder="1" applyAlignment="1" applyProtection="1">
      <alignment horizontal="center"/>
      <protection hidden="1"/>
    </xf>
    <xf numFmtId="0" fontId="6" fillId="28" borderId="126" xfId="60" applyFill="1" applyBorder="1" applyAlignment="1" applyProtection="1">
      <alignment horizontal="center"/>
      <protection hidden="1"/>
    </xf>
    <xf numFmtId="0" fontId="99" fillId="26" borderId="138" xfId="60" applyFont="1" applyFill="1" applyBorder="1" applyAlignment="1" applyProtection="1">
      <alignment horizontal="center" vertical="center"/>
      <protection hidden="1"/>
    </xf>
    <xf numFmtId="0" fontId="74" fillId="30" borderId="135" xfId="60" applyFont="1" applyFill="1" applyBorder="1" applyAlignment="1">
      <alignment horizontal="left" vertical="top" wrapText="1"/>
    </xf>
    <xf numFmtId="0" fontId="74" fillId="30" borderId="137" xfId="60" applyFont="1" applyFill="1" applyBorder="1" applyAlignment="1">
      <alignment horizontal="left" vertical="top" wrapText="1"/>
    </xf>
    <xf numFmtId="0" fontId="74" fillId="30" borderId="0" xfId="60" applyFont="1" applyFill="1" applyAlignment="1">
      <alignment horizontal="left" vertical="top" wrapText="1"/>
    </xf>
    <xf numFmtId="0" fontId="74" fillId="30" borderId="129" xfId="60" applyFont="1" applyFill="1" applyBorder="1" applyAlignment="1">
      <alignment horizontal="left" vertical="top" wrapText="1"/>
    </xf>
    <xf numFmtId="0" fontId="6" fillId="28" borderId="96" xfId="60" applyFill="1" applyBorder="1" applyAlignment="1">
      <alignment horizontal="center"/>
    </xf>
    <xf numFmtId="0" fontId="6" fillId="28" borderId="143" xfId="60" applyFill="1" applyBorder="1" applyAlignment="1">
      <alignment horizontal="center"/>
    </xf>
    <xf numFmtId="0" fontId="100" fillId="30" borderId="116" xfId="60" applyFont="1" applyFill="1" applyBorder="1" applyAlignment="1">
      <alignment horizontal="left" vertical="top" wrapText="1"/>
    </xf>
    <xf numFmtId="0" fontId="100" fillId="30" borderId="122" xfId="60" applyFont="1" applyFill="1" applyBorder="1" applyAlignment="1">
      <alignment horizontal="left" vertical="top" wrapText="1"/>
    </xf>
    <xf numFmtId="0" fontId="37" fillId="30" borderId="136" xfId="60" applyFont="1" applyFill="1" applyBorder="1" applyAlignment="1" applyProtection="1">
      <alignment horizontal="left" wrapText="1"/>
      <protection hidden="1"/>
    </xf>
    <xf numFmtId="0" fontId="37" fillId="30" borderId="135" xfId="60" applyFont="1" applyFill="1" applyBorder="1" applyAlignment="1" applyProtection="1">
      <alignment horizontal="left" wrapText="1"/>
      <protection hidden="1"/>
    </xf>
    <xf numFmtId="0" fontId="37" fillId="30" borderId="137" xfId="60" applyFont="1" applyFill="1" applyBorder="1" applyAlignment="1" applyProtection="1">
      <alignment horizontal="left" wrapText="1"/>
      <protection hidden="1"/>
    </xf>
    <xf numFmtId="0" fontId="6" fillId="18" borderId="0" xfId="60" applyFill="1" applyAlignment="1">
      <alignment horizontal="center" vertical="top"/>
    </xf>
    <xf numFmtId="0" fontId="6" fillId="18" borderId="78" xfId="60" applyFill="1" applyBorder="1" applyAlignment="1">
      <alignment horizontal="center" vertical="top"/>
    </xf>
    <xf numFmtId="0" fontId="39" fillId="20" borderId="116" xfId="60" applyFont="1" applyFill="1" applyBorder="1" applyAlignment="1" applyProtection="1">
      <alignment horizontal="left" vertical="top" wrapText="1"/>
      <protection locked="0"/>
    </xf>
    <xf numFmtId="0" fontId="39" fillId="20" borderId="128" xfId="60" applyFont="1" applyFill="1" applyBorder="1" applyAlignment="1" applyProtection="1">
      <alignment horizontal="left" vertical="top" wrapText="1"/>
      <protection locked="0"/>
    </xf>
    <xf numFmtId="0" fontId="39" fillId="20" borderId="122" xfId="60" applyFont="1" applyFill="1" applyBorder="1" applyAlignment="1" applyProtection="1">
      <alignment horizontal="left" vertical="top" wrapText="1"/>
      <protection locked="0"/>
    </xf>
    <xf numFmtId="0" fontId="4" fillId="0" borderId="0" xfId="60" applyFont="1" applyAlignment="1" applyProtection="1">
      <alignment horizontal="left" vertical="top" wrapText="1"/>
      <protection locked="0"/>
    </xf>
    <xf numFmtId="0" fontId="6" fillId="0" borderId="0" xfId="60" applyAlignment="1" applyProtection="1">
      <alignment horizontal="left" vertical="top" wrapText="1"/>
      <protection locked="0"/>
    </xf>
    <xf numFmtId="0" fontId="6" fillId="0" borderId="78" xfId="60" applyBorder="1" applyAlignment="1" applyProtection="1">
      <alignment horizontal="left" vertical="top" wrapText="1"/>
      <protection locked="0"/>
    </xf>
    <xf numFmtId="0" fontId="6" fillId="0" borderId="95" xfId="60" applyBorder="1" applyAlignment="1" applyProtection="1">
      <alignment horizontal="left" vertical="top" wrapText="1"/>
      <protection locked="0"/>
    </xf>
    <xf numFmtId="0" fontId="6" fillId="0" borderId="130" xfId="60" applyBorder="1" applyAlignment="1" applyProtection="1">
      <alignment horizontal="left" vertical="top" wrapText="1"/>
      <protection locked="0"/>
    </xf>
    <xf numFmtId="0" fontId="74" fillId="29" borderId="141" xfId="60" applyFont="1" applyFill="1" applyBorder="1" applyAlignment="1">
      <alignment horizontal="center" vertical="center" wrapText="1"/>
    </xf>
    <xf numFmtId="0" fontId="74" fillId="29" borderId="150" xfId="60" applyFont="1" applyFill="1" applyBorder="1" applyAlignment="1">
      <alignment horizontal="center" vertical="center" wrapText="1"/>
    </xf>
    <xf numFmtId="0" fontId="74" fillId="29" borderId="137" xfId="60" applyFont="1" applyFill="1" applyBorder="1" applyAlignment="1">
      <alignment horizontal="center" vertical="center" wrapText="1"/>
    </xf>
    <xf numFmtId="0" fontId="74" fillId="29" borderId="129" xfId="60" applyFont="1" applyFill="1" applyBorder="1" applyAlignment="1">
      <alignment horizontal="center" vertical="center" wrapText="1"/>
    </xf>
    <xf numFmtId="0" fontId="74" fillId="30" borderId="95" xfId="60" applyFont="1" applyFill="1" applyBorder="1" applyAlignment="1">
      <alignment horizontal="left" vertical="top" wrapText="1"/>
    </xf>
    <xf numFmtId="0" fontId="74" fillId="30" borderId="133" xfId="60" applyFont="1" applyFill="1" applyBorder="1" applyAlignment="1">
      <alignment horizontal="left" vertical="top" wrapText="1"/>
    </xf>
    <xf numFmtId="174" fontId="97" fillId="20" borderId="141" xfId="60" applyNumberFormat="1" applyFont="1" applyFill="1" applyBorder="1" applyAlignment="1" applyProtection="1">
      <alignment horizontal="center" vertical="center"/>
      <protection locked="0"/>
    </xf>
    <xf numFmtId="174" fontId="97" fillId="20" borderId="117" xfId="60" applyNumberFormat="1" applyFont="1" applyFill="1" applyBorder="1" applyAlignment="1" applyProtection="1">
      <alignment horizontal="center" vertical="center"/>
      <protection locked="0"/>
    </xf>
    <xf numFmtId="0" fontId="6" fillId="31" borderId="141" xfId="60" applyFill="1" applyBorder="1" applyAlignment="1" applyProtection="1">
      <alignment horizontal="center" vertical="center"/>
      <protection locked="0"/>
    </xf>
    <xf numFmtId="0" fontId="6" fillId="31" borderId="150" xfId="60" applyFill="1" applyBorder="1" applyAlignment="1" applyProtection="1">
      <alignment horizontal="center" vertical="center"/>
      <protection locked="0"/>
    </xf>
    <xf numFmtId="174" fontId="97" fillId="18" borderId="139" xfId="60" applyNumberFormat="1" applyFont="1" applyFill="1" applyBorder="1" applyAlignment="1" applyProtection="1">
      <alignment horizontal="center" vertical="center"/>
      <protection locked="0"/>
    </xf>
    <xf numFmtId="174" fontId="97" fillId="18" borderId="0" xfId="60" applyNumberFormat="1" applyFont="1" applyFill="1" applyAlignment="1" applyProtection="1">
      <alignment horizontal="center" vertical="center"/>
      <protection locked="0"/>
    </xf>
    <xf numFmtId="174" fontId="97" fillId="18" borderId="78" xfId="60" applyNumberFormat="1" applyFont="1" applyFill="1" applyBorder="1" applyAlignment="1" applyProtection="1">
      <alignment horizontal="center" vertical="center"/>
      <protection locked="0"/>
    </xf>
    <xf numFmtId="0" fontId="100" fillId="30" borderId="136" xfId="60" applyFont="1" applyFill="1" applyBorder="1" applyAlignment="1">
      <alignment horizontal="left" vertical="top" wrapText="1"/>
    </xf>
    <xf numFmtId="0" fontId="100" fillId="30" borderId="135" xfId="60" applyFont="1" applyFill="1" applyBorder="1" applyAlignment="1">
      <alignment horizontal="left" vertical="top" wrapText="1"/>
    </xf>
    <xf numFmtId="0" fontId="100" fillId="30" borderId="134" xfId="60" applyFont="1" applyFill="1" applyBorder="1" applyAlignment="1">
      <alignment horizontal="left" vertical="top" wrapText="1"/>
    </xf>
    <xf numFmtId="0" fontId="100" fillId="30" borderId="139" xfId="60" applyFont="1" applyFill="1" applyBorder="1" applyAlignment="1">
      <alignment horizontal="left" vertical="top" wrapText="1"/>
    </xf>
    <xf numFmtId="0" fontId="100" fillId="30" borderId="0" xfId="60" applyFont="1" applyFill="1" applyAlignment="1">
      <alignment horizontal="left" vertical="top" wrapText="1"/>
    </xf>
    <xf numFmtId="0" fontId="100" fillId="30" borderId="78" xfId="60" applyFont="1" applyFill="1" applyBorder="1" applyAlignment="1">
      <alignment horizontal="left" vertical="top" wrapText="1"/>
    </xf>
    <xf numFmtId="0" fontId="6" fillId="28" borderId="125" xfId="60" applyFill="1" applyBorder="1" applyAlignment="1">
      <alignment horizontal="center"/>
    </xf>
    <xf numFmtId="0" fontId="6" fillId="28" borderId="124" xfId="60" applyFill="1" applyBorder="1" applyAlignment="1">
      <alignment horizontal="center"/>
    </xf>
    <xf numFmtId="9" fontId="97" fillId="27" borderId="128" xfId="62" applyFont="1" applyFill="1" applyBorder="1" applyAlignment="1" applyProtection="1">
      <alignment horizontal="center" vertical="top"/>
      <protection hidden="1"/>
    </xf>
    <xf numFmtId="9" fontId="97" fillId="27" borderId="143" xfId="62" applyFont="1" applyFill="1" applyBorder="1" applyAlignment="1" applyProtection="1">
      <alignment horizontal="center" vertical="top"/>
      <protection hidden="1"/>
    </xf>
    <xf numFmtId="0" fontId="74" fillId="29" borderId="132" xfId="60" applyFont="1" applyFill="1" applyBorder="1" applyAlignment="1">
      <alignment horizontal="left" vertical="top"/>
    </xf>
    <xf numFmtId="0" fontId="74" fillId="29" borderId="133" xfId="60" applyFont="1" applyFill="1" applyBorder="1" applyAlignment="1">
      <alignment horizontal="left" vertical="top"/>
    </xf>
    <xf numFmtId="0" fontId="6" fillId="28" borderId="135" xfId="60" applyFill="1" applyBorder="1" applyAlignment="1">
      <alignment horizontal="center"/>
    </xf>
    <xf numFmtId="0" fontId="6" fillId="28" borderId="134" xfId="60" applyFill="1" applyBorder="1" applyAlignment="1">
      <alignment horizontal="center"/>
    </xf>
    <xf numFmtId="0" fontId="6" fillId="28" borderId="141" xfId="60" applyFill="1" applyBorder="1" applyAlignment="1">
      <alignment horizontal="center"/>
    </xf>
    <xf numFmtId="0" fontId="37" fillId="30" borderId="116" xfId="60" applyFont="1" applyFill="1" applyBorder="1" applyAlignment="1">
      <alignment horizontal="left" vertical="top" wrapText="1"/>
    </xf>
    <xf numFmtId="0" fontId="106" fillId="30" borderId="0" xfId="60" applyFont="1" applyFill="1" applyAlignment="1">
      <alignment horizontal="center"/>
    </xf>
    <xf numFmtId="0" fontId="106" fillId="30" borderId="78" xfId="60" applyFont="1" applyFill="1" applyBorder="1" applyAlignment="1">
      <alignment horizontal="center"/>
    </xf>
    <xf numFmtId="0" fontId="39" fillId="32" borderId="116" xfId="60" applyFont="1" applyFill="1" applyBorder="1" applyAlignment="1">
      <alignment horizontal="left" vertical="top" wrapText="1"/>
    </xf>
    <xf numFmtId="0" fontId="39" fillId="32" borderId="117" xfId="60" applyFont="1" applyFill="1" applyBorder="1" applyAlignment="1">
      <alignment horizontal="left" vertical="top" wrapText="1"/>
    </xf>
    <xf numFmtId="0" fontId="39" fillId="32" borderId="126" xfId="60" applyFont="1" applyFill="1" applyBorder="1" applyAlignment="1">
      <alignment horizontal="left" vertical="top" wrapText="1"/>
    </xf>
    <xf numFmtId="0" fontId="97" fillId="0" borderId="117" xfId="60" applyFont="1" applyBorder="1" applyAlignment="1" applyProtection="1">
      <alignment horizontal="left" vertical="top" wrapText="1"/>
      <protection locked="0"/>
    </xf>
    <xf numFmtId="0" fontId="97" fillId="0" borderId="132" xfId="60" applyFont="1" applyBorder="1" applyAlignment="1" applyProtection="1">
      <alignment horizontal="left" vertical="top" wrapText="1"/>
      <protection locked="0"/>
    </xf>
    <xf numFmtId="0" fontId="97" fillId="0" borderId="126" xfId="60" applyFont="1" applyBorder="1" applyAlignment="1" applyProtection="1">
      <alignment horizontal="left" vertical="top" wrapText="1"/>
      <protection locked="0"/>
    </xf>
    <xf numFmtId="0" fontId="97" fillId="0" borderId="116" xfId="60" applyFont="1" applyBorder="1" applyAlignment="1" applyProtection="1">
      <alignment horizontal="left" vertical="top" wrapText="1"/>
      <protection locked="0"/>
    </xf>
    <xf numFmtId="0" fontId="97" fillId="0" borderId="128" xfId="60" applyFont="1" applyBorder="1" applyAlignment="1" applyProtection="1">
      <alignment horizontal="left" vertical="top" wrapText="1"/>
      <protection locked="0"/>
    </xf>
    <xf numFmtId="0" fontId="97" fillId="0" borderId="122" xfId="60" applyFont="1" applyBorder="1" applyAlignment="1" applyProtection="1">
      <alignment horizontal="left" vertical="top" wrapText="1"/>
      <protection locked="0"/>
    </xf>
    <xf numFmtId="0" fontId="6" fillId="28" borderId="116" xfId="60" applyFill="1" applyBorder="1" applyAlignment="1">
      <alignment horizontal="center" vertical="top"/>
    </xf>
    <xf numFmtId="0" fontId="6" fillId="28" borderId="128" xfId="60" applyFill="1" applyBorder="1" applyAlignment="1">
      <alignment horizontal="center" vertical="top"/>
    </xf>
    <xf numFmtId="0" fontId="6" fillId="28" borderId="122" xfId="60" applyFill="1" applyBorder="1" applyAlignment="1">
      <alignment horizontal="center" vertical="top"/>
    </xf>
    <xf numFmtId="0" fontId="37" fillId="33" borderId="108" xfId="60" applyFont="1" applyFill="1" applyBorder="1" applyAlignment="1">
      <alignment horizontal="center" vertical="center"/>
    </xf>
    <xf numFmtId="0" fontId="37" fillId="33" borderId="107" xfId="60" applyFont="1" applyFill="1" applyBorder="1" applyAlignment="1">
      <alignment horizontal="center" vertical="center"/>
    </xf>
    <xf numFmtId="0" fontId="37" fillId="33" borderId="76" xfId="60" applyFont="1" applyFill="1" applyBorder="1" applyAlignment="1">
      <alignment horizontal="center" vertical="center"/>
    </xf>
    <xf numFmtId="0" fontId="37" fillId="33" borderId="77" xfId="60" applyFont="1" applyFill="1" applyBorder="1" applyAlignment="1">
      <alignment horizontal="center" vertical="center"/>
    </xf>
    <xf numFmtId="0" fontId="37" fillId="33" borderId="0" xfId="60" applyFont="1" applyFill="1" applyAlignment="1">
      <alignment horizontal="center" vertical="center"/>
    </xf>
    <xf numFmtId="0" fontId="37" fillId="33" borderId="78" xfId="60" applyFont="1" applyFill="1" applyBorder="1" applyAlignment="1">
      <alignment horizontal="center" vertical="center"/>
    </xf>
    <xf numFmtId="0" fontId="37" fillId="33" borderId="79" xfId="60" applyFont="1" applyFill="1" applyBorder="1" applyAlignment="1">
      <alignment horizontal="center" vertical="center"/>
    </xf>
    <xf numFmtId="0" fontId="37" fillId="33" borderId="80" xfId="60" applyFont="1" applyFill="1" applyBorder="1" applyAlignment="1">
      <alignment horizontal="center" vertical="center"/>
    </xf>
    <xf numFmtId="0" fontId="37" fillId="33" borderId="81" xfId="60" applyFont="1" applyFill="1" applyBorder="1" applyAlignment="1">
      <alignment horizontal="center" vertical="center"/>
    </xf>
    <xf numFmtId="0" fontId="74" fillId="29" borderId="136" xfId="60" applyFont="1" applyFill="1" applyBorder="1" applyAlignment="1">
      <alignment horizontal="center" vertical="center" wrapText="1"/>
    </xf>
    <xf numFmtId="0" fontId="74" fillId="29" borderId="135" xfId="60" applyFont="1" applyFill="1" applyBorder="1" applyAlignment="1">
      <alignment horizontal="center" vertical="center" wrapText="1"/>
    </xf>
    <xf numFmtId="0" fontId="74" fillId="29" borderId="134" xfId="60" applyFont="1" applyFill="1" applyBorder="1" applyAlignment="1">
      <alignment horizontal="center" vertical="center" wrapText="1"/>
    </xf>
    <xf numFmtId="0" fontId="74" fillId="29" borderId="139" xfId="60" applyFont="1" applyFill="1" applyBorder="1" applyAlignment="1">
      <alignment horizontal="center" vertical="center" wrapText="1"/>
    </xf>
    <xf numFmtId="0" fontId="74" fillId="29" borderId="0" xfId="60" applyFont="1" applyFill="1" applyAlignment="1">
      <alignment horizontal="center" vertical="center" wrapText="1"/>
    </xf>
    <xf numFmtId="0" fontId="74" fillId="29" borderId="78" xfId="60" applyFont="1" applyFill="1" applyBorder="1" applyAlignment="1">
      <alignment horizontal="center" vertical="center" wrapText="1"/>
    </xf>
    <xf numFmtId="0" fontId="74" fillId="29" borderId="132" xfId="60" applyFont="1" applyFill="1" applyBorder="1" applyAlignment="1">
      <alignment horizontal="center" vertical="center" wrapText="1"/>
    </xf>
    <xf numFmtId="0" fontId="74" fillId="29" borderId="95" xfId="60" applyFont="1" applyFill="1" applyBorder="1" applyAlignment="1">
      <alignment horizontal="center" vertical="center" wrapText="1"/>
    </xf>
    <xf numFmtId="0" fontId="74" fillId="29" borderId="130" xfId="60" applyFont="1" applyFill="1" applyBorder="1" applyAlignment="1">
      <alignment horizontal="center" vertical="center" wrapText="1"/>
    </xf>
    <xf numFmtId="0" fontId="99" fillId="28" borderId="138" xfId="60" applyFont="1" applyFill="1" applyBorder="1" applyAlignment="1">
      <alignment horizontal="center" vertical="center"/>
    </xf>
    <xf numFmtId="0" fontId="99" fillId="28" borderId="135" xfId="60" applyFont="1" applyFill="1" applyBorder="1" applyAlignment="1">
      <alignment horizontal="center" vertical="center"/>
    </xf>
    <xf numFmtId="0" fontId="99" fillId="28" borderId="137" xfId="60" applyFont="1" applyFill="1" applyBorder="1" applyAlignment="1">
      <alignment horizontal="center" vertical="center"/>
    </xf>
    <xf numFmtId="0" fontId="99" fillId="28" borderId="77" xfId="60" applyFont="1" applyFill="1" applyBorder="1" applyAlignment="1">
      <alignment horizontal="center" vertical="center"/>
    </xf>
    <xf numFmtId="0" fontId="99" fillId="28" borderId="0" xfId="60" applyFont="1" applyFill="1" applyAlignment="1">
      <alignment horizontal="center" vertical="center"/>
    </xf>
    <xf numFmtId="0" fontId="99" fillId="28" borderId="129" xfId="60" applyFont="1" applyFill="1" applyBorder="1" applyAlignment="1">
      <alignment horizontal="center" vertical="center"/>
    </xf>
    <xf numFmtId="0" fontId="6" fillId="28" borderId="136" xfId="60" applyFill="1" applyBorder="1" applyAlignment="1">
      <alignment horizontal="center"/>
    </xf>
    <xf numFmtId="0" fontId="97" fillId="0" borderId="136" xfId="60" applyFont="1" applyBorder="1" applyAlignment="1" applyProtection="1">
      <alignment horizontal="left" vertical="top" wrapText="1"/>
      <protection locked="0"/>
    </xf>
    <xf numFmtId="0" fontId="97" fillId="0" borderId="135" xfId="60" applyFont="1" applyBorder="1" applyAlignment="1" applyProtection="1">
      <alignment horizontal="left" vertical="top" wrapText="1"/>
      <protection locked="0"/>
    </xf>
    <xf numFmtId="0" fontId="97" fillId="0" borderId="134" xfId="60" applyFont="1" applyBorder="1" applyAlignment="1" applyProtection="1">
      <alignment horizontal="left" vertical="top" wrapText="1"/>
      <protection locked="0"/>
    </xf>
    <xf numFmtId="0" fontId="97" fillId="0" borderId="139" xfId="60" applyFont="1" applyBorder="1" applyAlignment="1" applyProtection="1">
      <alignment horizontal="left" vertical="top" wrapText="1"/>
      <protection locked="0"/>
    </xf>
    <xf numFmtId="0" fontId="97" fillId="0" borderId="0" xfId="60" applyFont="1" applyAlignment="1" applyProtection="1">
      <alignment horizontal="left" vertical="top" wrapText="1"/>
      <protection locked="0"/>
    </xf>
    <xf numFmtId="0" fontId="97" fillId="0" borderId="78" xfId="60" applyFont="1" applyBorder="1" applyAlignment="1" applyProtection="1">
      <alignment horizontal="left" vertical="top" wrapText="1"/>
      <protection locked="0"/>
    </xf>
    <xf numFmtId="0" fontId="104" fillId="29" borderId="145" xfId="60" applyFont="1" applyFill="1" applyBorder="1" applyAlignment="1">
      <alignment horizontal="right"/>
    </xf>
    <xf numFmtId="0" fontId="104" fillId="29" borderId="146" xfId="60" applyFont="1" applyFill="1" applyBorder="1" applyAlignment="1">
      <alignment horizontal="right"/>
    </xf>
    <xf numFmtId="0" fontId="99" fillId="28" borderId="145" xfId="60" applyFont="1" applyFill="1" applyBorder="1" applyAlignment="1">
      <alignment horizontal="center"/>
    </xf>
    <xf numFmtId="0" fontId="99" fillId="28" borderId="144" xfId="60" applyFont="1" applyFill="1" applyBorder="1" applyAlignment="1">
      <alignment horizontal="center"/>
    </xf>
    <xf numFmtId="0" fontId="37" fillId="35" borderId="108" xfId="60" applyFont="1" applyFill="1" applyBorder="1" applyAlignment="1">
      <alignment horizontal="center" vertical="center"/>
    </xf>
    <xf numFmtId="0" fontId="37" fillId="35" borderId="107" xfId="60" applyFont="1" applyFill="1" applyBorder="1" applyAlignment="1">
      <alignment horizontal="center" vertical="center"/>
    </xf>
    <xf numFmtId="0" fontId="37" fillId="35" borderId="76" xfId="60" applyFont="1" applyFill="1" applyBorder="1" applyAlignment="1">
      <alignment horizontal="center" vertical="center"/>
    </xf>
    <xf numFmtId="0" fontId="37" fillId="35" borderId="77" xfId="60" applyFont="1" applyFill="1" applyBorder="1" applyAlignment="1">
      <alignment horizontal="center" vertical="center"/>
    </xf>
    <xf numFmtId="0" fontId="37" fillId="35" borderId="0" xfId="60" applyFont="1" applyFill="1" applyAlignment="1">
      <alignment horizontal="center" vertical="center"/>
    </xf>
    <xf numFmtId="0" fontId="37" fillId="35" borderId="78" xfId="60" applyFont="1" applyFill="1" applyBorder="1" applyAlignment="1">
      <alignment horizontal="center" vertical="center"/>
    </xf>
    <xf numFmtId="0" fontId="37" fillId="35" borderId="79" xfId="60" applyFont="1" applyFill="1" applyBorder="1" applyAlignment="1">
      <alignment horizontal="center" vertical="center"/>
    </xf>
    <xf numFmtId="0" fontId="37" fillId="35" borderId="80" xfId="60" applyFont="1" applyFill="1" applyBorder="1" applyAlignment="1">
      <alignment horizontal="center" vertical="center"/>
    </xf>
    <xf numFmtId="0" fontId="37" fillId="35" borderId="81" xfId="60" applyFont="1" applyFill="1" applyBorder="1" applyAlignment="1">
      <alignment horizontal="center" vertical="center"/>
    </xf>
    <xf numFmtId="0" fontId="37" fillId="37" borderId="108" xfId="60" applyFont="1" applyFill="1" applyBorder="1" applyAlignment="1">
      <alignment horizontal="center" vertical="center"/>
    </xf>
    <xf numFmtId="0" fontId="37" fillId="37" borderId="107" xfId="60" applyFont="1" applyFill="1" applyBorder="1" applyAlignment="1">
      <alignment horizontal="center" vertical="center"/>
    </xf>
    <xf numFmtId="0" fontId="37" fillId="37" borderId="76" xfId="60" applyFont="1" applyFill="1" applyBorder="1" applyAlignment="1">
      <alignment horizontal="center" vertical="center"/>
    </xf>
    <xf numFmtId="0" fontId="37" fillId="37" borderId="77" xfId="60" applyFont="1" applyFill="1" applyBorder="1" applyAlignment="1">
      <alignment horizontal="center" vertical="center"/>
    </xf>
    <xf numFmtId="0" fontId="37" fillId="37" borderId="0" xfId="60" applyFont="1" applyFill="1" applyAlignment="1">
      <alignment horizontal="center" vertical="center"/>
    </xf>
    <xf numFmtId="0" fontId="37" fillId="37" borderId="78" xfId="60" applyFont="1" applyFill="1" applyBorder="1" applyAlignment="1">
      <alignment horizontal="center" vertical="center"/>
    </xf>
    <xf numFmtId="0" fontId="37" fillId="37" borderId="79" xfId="60" applyFont="1" applyFill="1" applyBorder="1" applyAlignment="1">
      <alignment horizontal="center" vertical="center"/>
    </xf>
    <xf numFmtId="0" fontId="37" fillId="37" borderId="80" xfId="60" applyFont="1" applyFill="1" applyBorder="1" applyAlignment="1">
      <alignment horizontal="center" vertical="center"/>
    </xf>
    <xf numFmtId="0" fontId="37" fillId="37" borderId="81" xfId="60" applyFont="1" applyFill="1" applyBorder="1" applyAlignment="1">
      <alignment horizontal="center" vertical="center"/>
    </xf>
    <xf numFmtId="0" fontId="3" fillId="32" borderId="121" xfId="60" applyFont="1" applyFill="1" applyBorder="1" applyAlignment="1">
      <alignment horizontal="left"/>
    </xf>
    <xf numFmtId="0" fontId="6" fillId="32" borderId="120" xfId="60" applyFill="1" applyBorder="1" applyAlignment="1">
      <alignment horizontal="left"/>
    </xf>
    <xf numFmtId="9" fontId="30" fillId="9" borderId="143" xfId="52" applyNumberFormat="1" applyFont="1" applyFill="1" applyBorder="1" applyAlignment="1">
      <alignment horizontal="center" vertical="center" shrinkToFit="1"/>
    </xf>
    <xf numFmtId="9" fontId="30" fillId="9" borderId="112" xfId="52" applyNumberFormat="1" applyFont="1" applyFill="1" applyBorder="1" applyAlignment="1">
      <alignment horizontal="center" vertical="center" shrinkToFit="1"/>
    </xf>
    <xf numFmtId="0" fontId="30" fillId="0" borderId="0" xfId="52" applyFont="1" applyAlignment="1">
      <alignment horizontal="center"/>
    </xf>
    <xf numFmtId="0" fontId="38" fillId="0" borderId="0" xfId="52" applyFont="1" applyAlignment="1">
      <alignment wrapText="1"/>
    </xf>
    <xf numFmtId="0" fontId="70" fillId="0" borderId="77" xfId="52" applyFont="1" applyBorder="1" applyAlignment="1">
      <alignment vertical="center"/>
    </xf>
    <xf numFmtId="0" fontId="70" fillId="0" borderId="0" xfId="52" applyFont="1" applyAlignment="1">
      <alignment vertical="center"/>
    </xf>
    <xf numFmtId="0" fontId="38" fillId="0" borderId="80" xfId="52" applyFont="1" applyBorder="1" applyAlignment="1">
      <alignment vertical="top" wrapText="1"/>
    </xf>
    <xf numFmtId="0" fontId="30" fillId="0" borderId="0" xfId="52" applyFont="1" applyAlignment="1">
      <alignment horizontal="left" vertical="top" wrapText="1" indent="2"/>
    </xf>
    <xf numFmtId="0" fontId="42" fillId="0" borderId="108" xfId="0" applyFont="1" applyBorder="1" applyAlignment="1">
      <alignment horizontal="center" vertical="center" wrapText="1"/>
    </xf>
    <xf numFmtId="0" fontId="30" fillId="0" borderId="107" xfId="0" applyFont="1" applyBorder="1" applyAlignment="1">
      <alignment horizontal="center" vertical="center" wrapText="1"/>
    </xf>
    <xf numFmtId="0" fontId="44" fillId="0" borderId="77" xfId="0" applyFont="1" applyBorder="1" applyAlignment="1">
      <alignment horizontal="center" vertical="center" wrapText="1"/>
    </xf>
    <xf numFmtId="0" fontId="59" fillId="0" borderId="0" xfId="0" applyFont="1" applyAlignment="1">
      <alignment horizontal="center" vertical="center" wrapText="1"/>
    </xf>
    <xf numFmtId="0" fontId="54" fillId="0" borderId="0" xfId="52" applyFont="1" applyAlignment="1">
      <alignment horizontal="center"/>
    </xf>
    <xf numFmtId="0" fontId="38" fillId="0" borderId="0" xfId="52" applyFont="1" applyAlignment="1">
      <alignment horizontal="left" vertical="center" indent="1"/>
    </xf>
    <xf numFmtId="0" fontId="38" fillId="0" borderId="78" xfId="52" applyFont="1" applyBorder="1" applyAlignment="1">
      <alignment horizontal="left" vertical="center"/>
    </xf>
    <xf numFmtId="0" fontId="30" fillId="22" borderId="77" xfId="52" applyFont="1" applyFill="1" applyBorder="1" applyAlignment="1">
      <alignment horizontal="left" vertical="top" wrapText="1"/>
    </xf>
    <xf numFmtId="0" fontId="30" fillId="22" borderId="0" xfId="52" applyFont="1" applyFill="1" applyAlignment="1">
      <alignment vertical="top"/>
    </xf>
    <xf numFmtId="164" fontId="38" fillId="0" borderId="0" xfId="52" applyNumberFormat="1" applyFont="1" applyAlignment="1">
      <alignment horizontal="left" vertical="center" indent="1"/>
    </xf>
    <xf numFmtId="164" fontId="38" fillId="0" borderId="78" xfId="52" applyNumberFormat="1" applyFont="1" applyBorder="1" applyAlignment="1">
      <alignment horizontal="left" vertical="center" indent="1"/>
    </xf>
    <xf numFmtId="0" fontId="38" fillId="0" borderId="123" xfId="52" applyFont="1" applyBorder="1" applyAlignment="1">
      <alignment horizontal="center" vertical="center"/>
    </xf>
    <xf numFmtId="0" fontId="30" fillId="0" borderId="116" xfId="52" applyFont="1" applyBorder="1" applyAlignment="1">
      <alignment horizontal="center" vertical="center"/>
    </xf>
    <xf numFmtId="0" fontId="30" fillId="0" borderId="141" xfId="52" applyFont="1" applyBorder="1" applyAlignment="1">
      <alignment horizontal="left" vertical="center" wrapText="1"/>
    </xf>
    <xf numFmtId="0" fontId="30" fillId="0" borderId="0" xfId="52" applyFont="1" applyAlignment="1">
      <alignment horizontal="center" vertical="center"/>
    </xf>
    <xf numFmtId="167" fontId="30" fillId="0" borderId="0" xfId="52" applyNumberFormat="1" applyFont="1" applyAlignment="1">
      <alignment horizontal="center"/>
    </xf>
    <xf numFmtId="0" fontId="54" fillId="0" borderId="0" xfId="52" applyFont="1" applyAlignment="1">
      <alignment horizontal="center" vertical="center" wrapText="1"/>
    </xf>
    <xf numFmtId="0" fontId="43" fillId="0" borderId="83" xfId="0" applyFont="1" applyBorder="1" applyAlignment="1">
      <alignment horizontal="left" vertical="top" wrapText="1"/>
    </xf>
    <xf numFmtId="0" fontId="54" fillId="0" borderId="84" xfId="0" applyFont="1" applyBorder="1" applyAlignment="1">
      <alignment horizontal="left" vertical="top" wrapText="1"/>
    </xf>
    <xf numFmtId="0" fontId="54" fillId="0" borderId="85" xfId="0" applyFont="1" applyBorder="1" applyAlignment="1">
      <alignment horizontal="left" vertical="top" wrapText="1"/>
    </xf>
    <xf numFmtId="0" fontId="37" fillId="10" borderId="83" xfId="0" applyFont="1" applyFill="1" applyBorder="1" applyAlignment="1">
      <alignment horizontal="center" vertical="center"/>
    </xf>
    <xf numFmtId="0" fontId="39" fillId="10" borderId="84" xfId="0" applyFont="1" applyFill="1" applyBorder="1" applyAlignment="1">
      <alignment horizontal="center" vertical="center"/>
    </xf>
    <xf numFmtId="0" fontId="39" fillId="10" borderId="85" xfId="0" applyFont="1" applyFill="1" applyBorder="1" applyAlignment="1">
      <alignment horizontal="center" vertical="center"/>
    </xf>
    <xf numFmtId="0" fontId="48" fillId="0" borderId="29" xfId="0" applyFont="1" applyBorder="1" applyAlignment="1">
      <alignment horizontal="left" vertical="center" wrapText="1"/>
    </xf>
    <xf numFmtId="0" fontId="56" fillId="40" borderId="153" xfId="0" applyFont="1" applyFill="1" applyBorder="1" applyAlignment="1" applyProtection="1">
      <alignment horizontal="center" vertical="center"/>
      <protection hidden="1"/>
    </xf>
    <xf numFmtId="0" fontId="56" fillId="40" borderId="154" xfId="0" applyFont="1" applyFill="1" applyBorder="1" applyAlignment="1" applyProtection="1">
      <alignment horizontal="center" vertical="center"/>
      <protection hidden="1"/>
    </xf>
    <xf numFmtId="0" fontId="56" fillId="40" borderId="155" xfId="0" applyFont="1" applyFill="1" applyBorder="1" applyAlignment="1" applyProtection="1">
      <alignment horizontal="center" vertical="center"/>
      <protection hidden="1"/>
    </xf>
    <xf numFmtId="0" fontId="27" fillId="6" borderId="113" xfId="0" applyFont="1" applyFill="1" applyBorder="1" applyAlignment="1">
      <alignment horizontal="left" vertical="center" wrapText="1"/>
    </xf>
    <xf numFmtId="0" fontId="27" fillId="6" borderId="36" xfId="0" applyFont="1" applyFill="1" applyBorder="1" applyAlignment="1">
      <alignment horizontal="left" vertical="center" wrapText="1"/>
    </xf>
    <xf numFmtId="0" fontId="38" fillId="0" borderId="108" xfId="0" applyFont="1" applyBorder="1" applyAlignment="1">
      <alignment horizontal="center" vertical="center"/>
    </xf>
    <xf numFmtId="0" fontId="38" fillId="0" borderId="107" xfId="0" applyFont="1" applyBorder="1" applyAlignment="1">
      <alignment horizontal="center" vertical="center"/>
    </xf>
    <xf numFmtId="0" fontId="38" fillId="0" borderId="109" xfId="0" applyFont="1" applyBorder="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center" vertical="center"/>
    </xf>
    <xf numFmtId="0" fontId="38" fillId="0" borderId="110" xfId="0" applyFont="1" applyBorder="1" applyAlignment="1">
      <alignment horizontal="center" vertical="center"/>
    </xf>
    <xf numFmtId="0" fontId="27" fillId="6" borderId="33" xfId="0" applyFont="1" applyFill="1" applyBorder="1" applyAlignment="1">
      <alignment horizontal="left" vertical="center" wrapText="1"/>
    </xf>
    <xf numFmtId="0" fontId="27" fillId="6" borderId="37" xfId="0" applyFont="1" applyFill="1" applyBorder="1" applyAlignment="1">
      <alignment horizontal="left" vertical="center" wrapText="1"/>
    </xf>
    <xf numFmtId="0" fontId="27" fillId="6" borderId="25" xfId="0" applyFont="1" applyFill="1" applyBorder="1" applyAlignment="1">
      <alignment vertical="center" wrapText="1"/>
    </xf>
    <xf numFmtId="0" fontId="30" fillId="6" borderId="16" xfId="0" applyFont="1" applyFill="1" applyBorder="1" applyAlignment="1">
      <alignment vertical="center" wrapText="1"/>
    </xf>
    <xf numFmtId="0" fontId="27" fillId="6" borderId="25"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27" fillId="6" borderId="33" xfId="0" applyFont="1" applyFill="1" applyBorder="1" applyAlignment="1">
      <alignment vertical="center" wrapText="1"/>
    </xf>
    <xf numFmtId="0" fontId="38" fillId="6" borderId="37" xfId="0" applyFont="1" applyFill="1" applyBorder="1" applyAlignment="1">
      <alignment vertical="center" wrapText="1"/>
    </xf>
    <xf numFmtId="0" fontId="74" fillId="23" borderId="0" xfId="60" applyFont="1" applyFill="1" applyAlignment="1">
      <alignment horizontal="center"/>
    </xf>
    <xf numFmtId="0" fontId="110" fillId="25" borderId="0" xfId="60" applyFont="1" applyFill="1" applyAlignment="1">
      <alignment horizontal="center"/>
    </xf>
  </cellXfs>
  <cellStyles count="63">
    <cellStyle name="Currency" xfId="59" builtinId="4"/>
    <cellStyle name="Currency 2" xfId="53"/>
    <cellStyle name="Currency 3" xfId="61"/>
    <cellStyle name="Hyperlink" xfId="1" builtinId="8"/>
    <cellStyle name="Hyperlink 2" xfId="56"/>
    <cellStyle name="Normal" xfId="0" builtinId="0"/>
    <cellStyle name="Normal 2" xfId="52"/>
    <cellStyle name="Normal 2 2" xfId="58"/>
    <cellStyle name="Normal 3" xfId="54"/>
    <cellStyle name="Normal 4" xfId="57"/>
    <cellStyle name="Normal 5" xfId="60"/>
    <cellStyle name="Normal 6" xfId="55"/>
    <cellStyle name="Normal_AFRPG10" xfId="2"/>
    <cellStyle name="Normal_AFRPG11" xfId="3"/>
    <cellStyle name="Normal_AFRPG12" xfId="4"/>
    <cellStyle name="Normal_AFRPG13" xfId="5"/>
    <cellStyle name="Normal_AFRPG14" xfId="6"/>
    <cellStyle name="Normal_AFRPG15" xfId="7"/>
    <cellStyle name="Normal_AFRPG16" xfId="8"/>
    <cellStyle name="Normal_AFRPG17" xfId="9"/>
    <cellStyle name="Normal_AFRPG18" xfId="10"/>
    <cellStyle name="Normal_AFRPG19" xfId="11"/>
    <cellStyle name="Normal_AFRPG20" xfId="12"/>
    <cellStyle name="Normal_AFRPG21" xfId="13"/>
    <cellStyle name="Normal_AFRPG22" xfId="14"/>
    <cellStyle name="Normal_AFRPG23" xfId="15"/>
    <cellStyle name="Normal_AFRPG24" xfId="16"/>
    <cellStyle name="Normal_AFRPG25" xfId="17"/>
    <cellStyle name="Normal_AFRPG26" xfId="18"/>
    <cellStyle name="Normal_AFRPG27" xfId="19"/>
    <cellStyle name="Normal_AFRPG28" xfId="20"/>
    <cellStyle name="Normal_AFRPG29" xfId="21"/>
    <cellStyle name="Normal_AFRPG30" xfId="22"/>
    <cellStyle name="Normal_AFRPG31" xfId="23"/>
    <cellStyle name="Normal_AFRPG32" xfId="24"/>
    <cellStyle name="Normal_AFRPG33" xfId="25"/>
    <cellStyle name="Normal_AFRPG34" xfId="26"/>
    <cellStyle name="Normal_AFRPG35" xfId="27"/>
    <cellStyle name="Normal_AFRPG36" xfId="28"/>
    <cellStyle name="Normal_AFRPG37" xfId="29"/>
    <cellStyle name="Normal_AFRPG38" xfId="30"/>
    <cellStyle name="Normal_AFRPG39" xfId="31"/>
    <cellStyle name="Normal_AFRPG40" xfId="32"/>
    <cellStyle name="Normal_AFRPG41" xfId="33"/>
    <cellStyle name="Normal_AFRPG42" xfId="34"/>
    <cellStyle name="Normal_AFRPG43" xfId="35"/>
    <cellStyle name="Normal_AFRPG44" xfId="36"/>
    <cellStyle name="Normal_AFRPG45" xfId="37"/>
    <cellStyle name="Normal_AFRPG46" xfId="38"/>
    <cellStyle name="Normal_AFRPG47" xfId="39"/>
    <cellStyle name="Normal_AFRPG48" xfId="40"/>
    <cellStyle name="Normal_AFRPG49" xfId="41"/>
    <cellStyle name="Normal_AFRPG50" xfId="42"/>
    <cellStyle name="Normal_AFRPG51" xfId="43"/>
    <cellStyle name="Normal_AFRPG52" xfId="44"/>
    <cellStyle name="Normal_AFRPG53" xfId="45"/>
    <cellStyle name="Normal_AFRPG54" xfId="46"/>
    <cellStyle name="Normal_AFRPG55" xfId="47"/>
    <cellStyle name="Normal_AFRPG56" xfId="48"/>
    <cellStyle name="Normal_AFRPG7" xfId="49"/>
    <cellStyle name="Normal_AFRPG8" xfId="50"/>
    <cellStyle name="Normal_AFRPG9" xfId="51"/>
    <cellStyle name="Percent 2" xfId="62"/>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tabSelected="1" zoomScale="115" zoomScaleNormal="115" workbookViewId="0"/>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690" t="s">
        <v>229</v>
      </c>
      <c r="H1" s="1690"/>
      <c r="I1" s="1690"/>
      <c r="J1" s="1690"/>
      <c r="K1" s="1690"/>
      <c r="L1" s="1690"/>
      <c r="M1" s="1690"/>
      <c r="N1" s="1690"/>
      <c r="O1" s="1690"/>
    </row>
    <row r="2" spans="1:29" ht="12.2" customHeight="1" thickBot="1" x14ac:dyDescent="0.25">
      <c r="B2" s="1464" t="str">
        <f>IF(N14="SD","x","")</f>
        <v>x</v>
      </c>
      <c r="C2" s="137" t="s">
        <v>772</v>
      </c>
      <c r="D2" s="137"/>
      <c r="G2" s="1691" t="s">
        <v>77</v>
      </c>
      <c r="H2" s="1691"/>
      <c r="I2" s="1691"/>
      <c r="J2" s="1691"/>
      <c r="K2" s="1691"/>
      <c r="L2" s="1691"/>
      <c r="M2" s="1691"/>
      <c r="N2" s="1691"/>
      <c r="O2" s="1691"/>
      <c r="Q2" s="133"/>
      <c r="R2" s="133"/>
      <c r="S2" s="133"/>
      <c r="T2" s="133"/>
    </row>
    <row r="3" spans="1:29" ht="12.2" customHeight="1" thickBot="1" x14ac:dyDescent="0.25">
      <c r="B3" s="1465" t="str">
        <f>IF(N14="JA","x","")</f>
        <v/>
      </c>
      <c r="C3" s="137" t="s">
        <v>1911</v>
      </c>
      <c r="D3" s="137"/>
      <c r="G3" s="1691"/>
      <c r="H3" s="1691"/>
      <c r="I3" s="1691"/>
      <c r="J3" s="1691"/>
      <c r="K3" s="1691"/>
      <c r="L3" s="1691"/>
      <c r="M3" s="1691"/>
      <c r="N3" s="1691"/>
      <c r="O3" s="1691"/>
      <c r="P3" s="1693" t="str">
        <f>'DeficitBudgetSum Calc 22'!D7 &amp; " "</f>
        <v xml:space="preserve">Balanced budget; no Deficit Reduction Plan is required. </v>
      </c>
      <c r="Q3" s="1694"/>
      <c r="R3" s="1694"/>
      <c r="S3" s="1694"/>
      <c r="T3" s="1695"/>
      <c r="U3" s="135"/>
    </row>
    <row r="4" spans="1:29" ht="12.2" customHeight="1" x14ac:dyDescent="0.2">
      <c r="G4" s="1692" t="s">
        <v>771</v>
      </c>
      <c r="H4" s="1692"/>
      <c r="I4" s="1692"/>
      <c r="J4" s="1692"/>
      <c r="K4" s="1692"/>
      <c r="L4" s="1692"/>
      <c r="M4" s="1692"/>
      <c r="N4" s="1692"/>
      <c r="O4" s="1692"/>
      <c r="P4" s="1696"/>
      <c r="Q4" s="1697"/>
      <c r="R4" s="1697"/>
      <c r="S4" s="1697"/>
      <c r="T4" s="1698"/>
    </row>
    <row r="5" spans="1:29" ht="12.75" customHeight="1" thickBot="1" x14ac:dyDescent="0.25">
      <c r="A5" s="134" t="s">
        <v>463</v>
      </c>
      <c r="B5" s="136"/>
      <c r="C5" s="137"/>
      <c r="D5" s="137"/>
      <c r="G5" s="1707" t="str">
        <f>"July 1, "&amp;'B24'!L2-1</f>
        <v>July 1, 2023</v>
      </c>
      <c r="H5" s="1707"/>
      <c r="I5" s="1707"/>
      <c r="J5" s="1707"/>
      <c r="K5" s="624" t="str">
        <f>"- June 30, "&amp;'B24'!L2</f>
        <v>- June 30, 2024</v>
      </c>
      <c r="L5" s="623"/>
      <c r="M5" s="623"/>
      <c r="N5" s="623"/>
      <c r="O5" s="623"/>
      <c r="P5" s="1696"/>
      <c r="Q5" s="1697"/>
      <c r="R5" s="1697"/>
      <c r="S5" s="1697"/>
      <c r="T5" s="1698"/>
    </row>
    <row r="6" spans="1:29" ht="12.75" customHeight="1" thickBot="1" x14ac:dyDescent="0.25">
      <c r="B6" s="1455" t="s">
        <v>7247</v>
      </c>
      <c r="C6" s="132" t="s">
        <v>2139</v>
      </c>
      <c r="D6" s="1453"/>
      <c r="E6" s="1453"/>
      <c r="F6" s="1453"/>
      <c r="G6" s="1453"/>
      <c r="O6" s="138"/>
      <c r="P6" s="1696"/>
      <c r="Q6" s="1697"/>
      <c r="R6" s="1697"/>
      <c r="S6" s="1697"/>
      <c r="T6" s="1698"/>
    </row>
    <row r="7" spans="1:29" ht="12" customHeight="1" thickBot="1" x14ac:dyDescent="0.25">
      <c r="B7" s="1454"/>
      <c r="C7" s="132" t="s">
        <v>2140</v>
      </c>
      <c r="D7" s="137"/>
      <c r="O7" s="138"/>
      <c r="P7" s="1696"/>
      <c r="Q7" s="1697"/>
      <c r="R7" s="1697"/>
      <c r="S7" s="1697"/>
      <c r="T7" s="1698"/>
    </row>
    <row r="8" spans="1:29" ht="12.75" x14ac:dyDescent="0.2">
      <c r="B8" s="139"/>
      <c r="C8" s="142" t="s">
        <v>7229</v>
      </c>
      <c r="D8" s="140"/>
      <c r="E8" s="140"/>
      <c r="F8" s="140"/>
      <c r="G8" s="140"/>
      <c r="H8" s="1680"/>
      <c r="I8" s="140"/>
      <c r="J8" s="140"/>
      <c r="O8" s="138"/>
      <c r="P8" s="1696"/>
      <c r="Q8" s="1697"/>
      <c r="R8" s="1697"/>
      <c r="S8" s="1697"/>
      <c r="T8" s="1698"/>
    </row>
    <row r="9" spans="1:29" ht="6.75" customHeight="1" x14ac:dyDescent="0.2">
      <c r="B9" s="136"/>
      <c r="C9" s="140"/>
      <c r="D9" s="140"/>
      <c r="E9" s="140"/>
      <c r="F9" s="140"/>
      <c r="G9" s="140"/>
      <c r="H9" s="140"/>
      <c r="I9" s="140"/>
      <c r="J9" s="140"/>
      <c r="M9" s="138"/>
      <c r="N9" s="138"/>
      <c r="O9" s="138"/>
      <c r="P9" s="1696"/>
      <c r="Q9" s="1697"/>
      <c r="R9" s="1697"/>
      <c r="S9" s="1697"/>
      <c r="T9" s="1698"/>
      <c r="U9" s="141"/>
      <c r="V9" s="141"/>
      <c r="W9" s="141"/>
      <c r="X9" s="141"/>
      <c r="Y9" s="609"/>
      <c r="Z9" s="141"/>
      <c r="AA9" s="141"/>
      <c r="AB9" s="141"/>
      <c r="AC9" s="141"/>
    </row>
    <row r="10" spans="1:29" ht="13.5" customHeight="1" x14ac:dyDescent="0.2">
      <c r="B10" s="139"/>
      <c r="C10" s="142" t="s">
        <v>218</v>
      </c>
      <c r="D10" s="142"/>
      <c r="G10" s="143"/>
      <c r="H10" s="1705"/>
      <c r="I10" s="1706"/>
      <c r="J10" s="1706"/>
      <c r="K10" s="144"/>
      <c r="L10" s="144"/>
      <c r="M10" s="144"/>
      <c r="N10" s="144"/>
      <c r="O10" s="138"/>
      <c r="P10" s="1696"/>
      <c r="Q10" s="1697"/>
      <c r="R10" s="1697"/>
      <c r="S10" s="1697"/>
      <c r="T10" s="1698"/>
    </row>
    <row r="11" spans="1:29" ht="9.75" customHeight="1" x14ac:dyDescent="0.2">
      <c r="G11" s="145"/>
      <c r="H11" s="1708" t="s">
        <v>519</v>
      </c>
      <c r="I11" s="1708"/>
      <c r="J11" s="1708"/>
      <c r="K11" s="146"/>
      <c r="L11" s="146"/>
      <c r="M11" s="138"/>
      <c r="N11" s="138"/>
      <c r="O11" s="138"/>
      <c r="P11" s="1696"/>
      <c r="Q11" s="1697"/>
      <c r="R11" s="1697"/>
      <c r="S11" s="1697"/>
      <c r="T11" s="1698"/>
    </row>
    <row r="12" spans="1:29" ht="7.5" customHeight="1" x14ac:dyDescent="0.2">
      <c r="G12" s="145"/>
      <c r="H12" s="147"/>
      <c r="I12" s="147"/>
      <c r="J12" s="147"/>
      <c r="K12" s="146"/>
      <c r="L12" s="146"/>
      <c r="M12" s="138"/>
      <c r="N12" s="138"/>
      <c r="O12" s="138"/>
      <c r="P12" s="1696"/>
      <c r="Q12" s="1697"/>
      <c r="R12" s="1697"/>
      <c r="S12" s="1697"/>
      <c r="T12" s="1698"/>
    </row>
    <row r="13" spans="1:29" ht="13.5" customHeight="1" thickBot="1" x14ac:dyDescent="0.25">
      <c r="C13" s="142" t="s">
        <v>252</v>
      </c>
      <c r="D13" s="142"/>
      <c r="E13" s="148"/>
      <c r="F13" s="149"/>
      <c r="H13" s="1702" t="s">
        <v>1194</v>
      </c>
      <c r="I13" s="1703"/>
      <c r="J13" s="1703"/>
      <c r="K13" s="1703"/>
      <c r="L13" s="1703"/>
      <c r="M13" s="1704"/>
      <c r="N13" s="144"/>
      <c r="O13" s="138"/>
      <c r="P13" s="1699"/>
      <c r="Q13" s="1700"/>
      <c r="R13" s="1700"/>
      <c r="S13" s="1700"/>
      <c r="T13" s="1701"/>
      <c r="Y13" s="610">
        <f>IF(H14&lt;&gt;"Select dist name from drop-down on line above",1,0)</f>
        <v>1</v>
      </c>
    </row>
    <row r="14" spans="1:29" ht="13.5" customHeight="1" x14ac:dyDescent="0.2">
      <c r="C14" s="150" t="s">
        <v>253</v>
      </c>
      <c r="D14" s="150"/>
      <c r="E14" s="151"/>
      <c r="F14" s="152"/>
      <c r="G14" s="152"/>
      <c r="H14" s="1709" t="str">
        <f>IFERROR(VLOOKUP(H13,'District Drop-down'!$C$2:$D$1004,2,FALSE),"Please select district from drop-down list on line 13.")</f>
        <v>32046006026</v>
      </c>
      <c r="I14" s="1709"/>
      <c r="J14" s="1709"/>
      <c r="K14" s="1709"/>
      <c r="L14" s="1709"/>
      <c r="M14" s="1709"/>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9" t="str">
        <f>IF(H13="","",H13)</f>
        <v>Grant Park CUSD 6</v>
      </c>
      <c r="F24" s="1719"/>
      <c r="G24" s="1719"/>
      <c r="H24" s="1719"/>
      <c r="I24" s="1719"/>
      <c r="J24" s="1719"/>
      <c r="K24" s="1719"/>
      <c r="L24" s="164" t="s">
        <v>311</v>
      </c>
      <c r="M24" s="165"/>
      <c r="N24" s="1721" t="str">
        <f>IFERROR(VLOOKUP($H$13,'District Drop-down'!$C$2:$E$1004,3,FALSE),"")</f>
        <v>Kankakee</v>
      </c>
      <c r="O24" s="1721"/>
      <c r="P24" s="1721"/>
      <c r="Q24" s="1721"/>
      <c r="R24" s="1721"/>
      <c r="S24" s="132" t="s">
        <v>394</v>
      </c>
    </row>
    <row r="25" spans="1:20" ht="15" customHeight="1" x14ac:dyDescent="0.25">
      <c r="B25" s="1397" t="s">
        <v>1927</v>
      </c>
      <c r="H25" s="166"/>
      <c r="I25" s="1720" t="str">
        <f>"July 1, "&amp;'B24'!L2-1</f>
        <v>July 1, 2023</v>
      </c>
      <c r="J25" s="1720"/>
      <c r="K25" s="1720"/>
      <c r="L25" s="1723" t="s">
        <v>1928</v>
      </c>
      <c r="M25" s="1723"/>
      <c r="N25" s="1714" t="str">
        <f>"June 30, "&amp;'B24'!L2</f>
        <v>June 30, 2024</v>
      </c>
      <c r="O25" s="1714"/>
      <c r="P25" s="1714"/>
      <c r="Q25" s="1714"/>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8" t="str">
        <f>IF(H13=" Click here to choose your district from drop-down list","",H13)</f>
        <v>Grant Park CUSD 6</v>
      </c>
      <c r="I27" s="1718"/>
      <c r="J27" s="1718"/>
      <c r="K27" s="1718"/>
      <c r="L27" s="1718"/>
      <c r="M27" s="1718"/>
      <c r="N27" s="1718"/>
      <c r="O27" s="1718"/>
      <c r="P27" s="1718"/>
      <c r="Q27" s="1718"/>
      <c r="R27" s="1718"/>
      <c r="S27" s="132" t="s">
        <v>221</v>
      </c>
    </row>
    <row r="28" spans="1:20" ht="15" customHeight="1" x14ac:dyDescent="0.2">
      <c r="A28" s="627" t="s">
        <v>673</v>
      </c>
      <c r="D28" s="1722" t="str">
        <f>N24</f>
        <v>Kankakee</v>
      </c>
      <c r="E28" s="1722"/>
      <c r="F28" s="1722"/>
      <c r="G28" s="1722"/>
      <c r="H28" s="1722"/>
      <c r="I28" s="1399" t="s">
        <v>2132</v>
      </c>
    </row>
    <row r="29" spans="1:20" ht="15" customHeight="1" x14ac:dyDescent="0.2">
      <c r="A29" s="1398" t="s">
        <v>1930</v>
      </c>
    </row>
    <row r="30" spans="1:20" ht="9" customHeight="1" x14ac:dyDescent="0.2"/>
    <row r="31" spans="1:20" ht="15" customHeight="1" x14ac:dyDescent="0.2">
      <c r="C31" s="1400" t="s">
        <v>1931</v>
      </c>
      <c r="D31" s="1400"/>
      <c r="K31" s="1359">
        <v>25</v>
      </c>
      <c r="L31" s="164" t="s">
        <v>260</v>
      </c>
      <c r="M31" s="1710" t="s">
        <v>7239</v>
      </c>
      <c r="N31" s="1710"/>
      <c r="O31" s="1710"/>
      <c r="P31" s="639" t="s">
        <v>1935</v>
      </c>
      <c r="Q31" s="1361" t="s">
        <v>7240</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20" t="str">
        <f>I25</f>
        <v>July 1, 2023</v>
      </c>
      <c r="F37" s="1720"/>
      <c r="G37" s="1720"/>
      <c r="H37" s="1715" t="s">
        <v>1928</v>
      </c>
      <c r="I37" s="1715"/>
      <c r="J37" s="1720" t="str">
        <f>N25</f>
        <v>June 30, 2024</v>
      </c>
      <c r="K37" s="1720"/>
      <c r="L37" s="1720"/>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24" t="s">
        <v>1938</v>
      </c>
      <c r="B42" s="1724"/>
      <c r="C42" s="1724"/>
      <c r="D42" s="1724"/>
      <c r="E42" s="1724"/>
      <c r="F42" s="1724"/>
      <c r="G42" s="1724"/>
      <c r="H42" s="1724"/>
      <c r="I42" s="1724"/>
      <c r="J42" s="1724"/>
      <c r="K42" s="1724"/>
      <c r="L42" s="1724"/>
      <c r="M42" s="1724"/>
      <c r="N42" s="1724"/>
      <c r="O42" s="1724"/>
      <c r="P42" s="1724"/>
      <c r="Q42" s="1724"/>
      <c r="R42" s="1724"/>
    </row>
    <row r="43" spans="1:25" ht="14.1" customHeight="1" x14ac:dyDescent="0.2">
      <c r="C43" s="1400" t="s">
        <v>1939</v>
      </c>
      <c r="D43" s="1400"/>
      <c r="N43" s="1360">
        <v>25</v>
      </c>
      <c r="O43" s="164" t="s">
        <v>1940</v>
      </c>
      <c r="P43" s="1716" t="s">
        <v>7241</v>
      </c>
      <c r="Q43" s="1716"/>
      <c r="R43" s="1716"/>
      <c r="S43" s="640" t="s">
        <v>1943</v>
      </c>
      <c r="T43" s="1361" t="s">
        <v>7240</v>
      </c>
      <c r="X43" s="608"/>
      <c r="Y43" s="132"/>
    </row>
    <row r="44" spans="1:25" ht="15.6" customHeight="1" x14ac:dyDescent="0.2">
      <c r="A44" s="1398" t="s">
        <v>1944</v>
      </c>
      <c r="C44" s="1398"/>
      <c r="D44" s="1398"/>
      <c r="E44" s="1717" t="s">
        <v>7260</v>
      </c>
      <c r="F44" s="1717"/>
      <c r="G44" s="1398" t="s">
        <v>1941</v>
      </c>
      <c r="H44" s="1359" t="s">
        <v>7261</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25" t="s">
        <v>671</v>
      </c>
      <c r="F48" s="1726"/>
      <c r="G48" s="1726"/>
      <c r="H48" s="1726"/>
      <c r="I48" s="1726"/>
      <c r="J48" s="1727"/>
      <c r="K48" s="1725" t="s">
        <v>672</v>
      </c>
      <c r="L48" s="1726"/>
      <c r="M48" s="1726"/>
      <c r="N48" s="1726"/>
      <c r="O48" s="1726"/>
      <c r="P48" s="1726"/>
      <c r="Q48" s="1727"/>
    </row>
    <row r="49" spans="1:22" ht="18" customHeight="1" x14ac:dyDescent="0.2">
      <c r="E49" s="1711" t="s">
        <v>7248</v>
      </c>
      <c r="F49" s="1712"/>
      <c r="G49" s="1712"/>
      <c r="H49" s="1712"/>
      <c r="I49" s="1712"/>
      <c r="J49" s="1713"/>
      <c r="K49" s="1711"/>
      <c r="L49" s="1712"/>
      <c r="M49" s="1712"/>
      <c r="N49" s="1712"/>
      <c r="O49" s="1712"/>
      <c r="P49" s="1712"/>
      <c r="Q49" s="1713"/>
    </row>
    <row r="50" spans="1:22" ht="18" customHeight="1" x14ac:dyDescent="0.2">
      <c r="E50" s="1711" t="s">
        <v>7249</v>
      </c>
      <c r="F50" s="1712"/>
      <c r="G50" s="1712"/>
      <c r="H50" s="1712"/>
      <c r="I50" s="1712"/>
      <c r="J50" s="1713"/>
      <c r="K50" s="1711"/>
      <c r="L50" s="1712"/>
      <c r="M50" s="1712"/>
      <c r="N50" s="1712"/>
      <c r="O50" s="1712"/>
      <c r="P50" s="1712"/>
      <c r="Q50" s="1713"/>
    </row>
    <row r="51" spans="1:22" ht="18" customHeight="1" x14ac:dyDescent="0.2">
      <c r="E51" s="1711" t="s">
        <v>7250</v>
      </c>
      <c r="F51" s="1712"/>
      <c r="G51" s="1712"/>
      <c r="H51" s="1712"/>
      <c r="I51" s="1712"/>
      <c r="J51" s="1713"/>
      <c r="K51" s="1711"/>
      <c r="L51" s="1712"/>
      <c r="M51" s="1712"/>
      <c r="N51" s="1712"/>
      <c r="O51" s="1712"/>
      <c r="P51" s="1712"/>
      <c r="Q51" s="1713"/>
    </row>
    <row r="52" spans="1:22" ht="18" customHeight="1" x14ac:dyDescent="0.2">
      <c r="E52" s="1711" t="s">
        <v>7251</v>
      </c>
      <c r="F52" s="1712"/>
      <c r="G52" s="1712"/>
      <c r="H52" s="1712"/>
      <c r="I52" s="1712"/>
      <c r="J52" s="1713"/>
      <c r="K52" s="1711"/>
      <c r="L52" s="1712"/>
      <c r="M52" s="1712"/>
      <c r="N52" s="1712"/>
      <c r="O52" s="1712"/>
      <c r="P52" s="1712"/>
      <c r="Q52" s="1713"/>
    </row>
    <row r="53" spans="1:22" ht="18" customHeight="1" x14ac:dyDescent="0.2">
      <c r="E53" s="1711" t="s">
        <v>7252</v>
      </c>
      <c r="F53" s="1712"/>
      <c r="G53" s="1712"/>
      <c r="H53" s="1712"/>
      <c r="I53" s="1712"/>
      <c r="J53" s="1713"/>
      <c r="K53" s="1711"/>
      <c r="L53" s="1712"/>
      <c r="M53" s="1712"/>
      <c r="N53" s="1712"/>
      <c r="O53" s="1712"/>
      <c r="P53" s="1712"/>
      <c r="Q53" s="1713"/>
    </row>
    <row r="54" spans="1:22" ht="18" customHeight="1" x14ac:dyDescent="0.2">
      <c r="E54" s="1711" t="s">
        <v>7253</v>
      </c>
      <c r="F54" s="1712"/>
      <c r="G54" s="1712"/>
      <c r="H54" s="1712"/>
      <c r="I54" s="1712"/>
      <c r="J54" s="1713"/>
      <c r="K54" s="1711"/>
      <c r="L54" s="1712"/>
      <c r="M54" s="1712"/>
      <c r="N54" s="1712"/>
      <c r="O54" s="1712"/>
      <c r="P54" s="1712"/>
      <c r="Q54" s="1713"/>
    </row>
    <row r="55" spans="1:22" ht="18" customHeight="1" x14ac:dyDescent="0.2">
      <c r="E55" s="1711" t="s">
        <v>7254</v>
      </c>
      <c r="F55" s="1712"/>
      <c r="G55" s="1712"/>
      <c r="H55" s="1712"/>
      <c r="I55" s="1712"/>
      <c r="J55" s="1713"/>
      <c r="K55" s="1711"/>
      <c r="L55" s="1712"/>
      <c r="M55" s="1712"/>
      <c r="N55" s="1712"/>
      <c r="O55" s="1712"/>
      <c r="P55" s="1712"/>
      <c r="Q55" s="1713"/>
    </row>
    <row r="56" spans="1:22" ht="18" customHeight="1" x14ac:dyDescent="0.2">
      <c r="E56" s="1711"/>
      <c r="F56" s="1712"/>
      <c r="G56" s="1712"/>
      <c r="H56" s="1712"/>
      <c r="I56" s="1712"/>
      <c r="J56" s="1713"/>
      <c r="K56" s="1711"/>
      <c r="L56" s="1712"/>
      <c r="M56" s="1712"/>
      <c r="N56" s="1712"/>
      <c r="O56" s="1712"/>
      <c r="P56" s="1712"/>
      <c r="Q56" s="1713"/>
    </row>
    <row r="57" spans="1:22" ht="18" customHeight="1" x14ac:dyDescent="0.2">
      <c r="E57" s="1711"/>
      <c r="F57" s="1712"/>
      <c r="G57" s="1712"/>
      <c r="H57" s="1712"/>
      <c r="I57" s="1712"/>
      <c r="J57" s="1713"/>
      <c r="K57" s="1711"/>
      <c r="L57" s="1712"/>
      <c r="M57" s="1712"/>
      <c r="N57" s="1712"/>
      <c r="O57" s="1712"/>
      <c r="P57" s="1712"/>
      <c r="Q57" s="1713"/>
    </row>
    <row r="58" spans="1:22" ht="18" customHeight="1" x14ac:dyDescent="0.2">
      <c r="E58" s="1732"/>
      <c r="F58" s="1733"/>
      <c r="G58" s="1733"/>
      <c r="H58" s="1733"/>
      <c r="I58" s="1733"/>
      <c r="J58" s="1734"/>
      <c r="K58" s="1732"/>
      <c r="L58" s="1733"/>
      <c r="M58" s="1733"/>
      <c r="N58" s="1733"/>
      <c r="O58" s="1733"/>
      <c r="P58" s="1733"/>
      <c r="Q58" s="1734"/>
    </row>
    <row r="59" spans="1:22" ht="6" customHeight="1" x14ac:dyDescent="0.2"/>
    <row r="60" spans="1:22" ht="12.75" x14ac:dyDescent="0.2">
      <c r="B60" s="175"/>
      <c r="C60" s="176"/>
      <c r="D60" s="176" t="s">
        <v>518</v>
      </c>
      <c r="E60" s="1730" t="s">
        <v>315</v>
      </c>
      <c r="F60" s="1731"/>
      <c r="G60" s="1731"/>
      <c r="H60" s="1731"/>
      <c r="I60" s="1731"/>
      <c r="J60" s="1731"/>
      <c r="K60" s="1731"/>
      <c r="L60" s="1731"/>
      <c r="M60" s="1731"/>
      <c r="N60" s="1731"/>
      <c r="O60" s="1731"/>
      <c r="P60" s="1731"/>
      <c r="Q60" s="1731"/>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7237</v>
      </c>
      <c r="F66" s="183"/>
      <c r="G66" s="183"/>
      <c r="H66" s="183"/>
      <c r="I66" s="183"/>
      <c r="J66" s="183"/>
      <c r="M66" s="569" t="s">
        <v>7238</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729" t="str">
        <f>H13</f>
        <v>Grant Park CUSD 6</v>
      </c>
      <c r="D71" s="1729"/>
      <c r="E71" s="1729"/>
      <c r="F71" s="1729"/>
      <c r="G71" s="1729"/>
    </row>
    <row r="72" spans="1:19" ht="12" x14ac:dyDescent="0.2">
      <c r="C72" s="1728" t="str">
        <f>H14</f>
        <v>32046006026</v>
      </c>
      <c r="D72" s="1728"/>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67"/>
  <sheetViews>
    <sheetView zoomScale="80" zoomScaleNormal="80" workbookViewId="0">
      <selection sqref="A1:M1"/>
    </sheetView>
  </sheetViews>
  <sheetFormatPr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1923" t="s">
        <v>4389</v>
      </c>
      <c r="B1" s="1924"/>
      <c r="C1" s="1924"/>
      <c r="D1" s="1924"/>
      <c r="E1" s="1924"/>
      <c r="F1" s="1924"/>
      <c r="G1" s="1924"/>
      <c r="H1" s="1924"/>
      <c r="I1" s="1924"/>
      <c r="J1" s="1924"/>
      <c r="K1" s="1924"/>
      <c r="L1" s="1924"/>
      <c r="M1" s="1925"/>
      <c r="N1" s="1536" t="s">
        <v>1624</v>
      </c>
      <c r="O1" s="1535" t="str">
        <f>IF(Cover!H13=0,"",Cover!H14)</f>
        <v>32046006026</v>
      </c>
      <c r="Q1" s="1486" t="s">
        <v>4388</v>
      </c>
      <c r="R1" s="1601" t="s">
        <v>4387</v>
      </c>
      <c r="S1" s="1601" t="s">
        <v>6989</v>
      </c>
      <c r="T1" s="1601" t="s">
        <v>6990</v>
      </c>
      <c r="U1" s="1601" t="s">
        <v>6991</v>
      </c>
      <c r="V1" s="1486" t="s">
        <v>4386</v>
      </c>
    </row>
    <row r="2" spans="1:23" ht="34.5" customHeight="1" thickBot="1" x14ac:dyDescent="0.3">
      <c r="A2" s="1942" t="str">
        <f>IF(Cover!H13=0,"",IFERROR(VLOOKUP(O1,'FY23 Data for FY24 Plan'!A3:B929,2,FALSE),"N/A - EBF Spending Plan Not Required for Joint Agreements"))</f>
        <v>GRANT PARK C U  SCHOOL DIST 6</v>
      </c>
      <c r="B2" s="1943"/>
      <c r="C2" s="1943"/>
      <c r="D2" s="1943"/>
      <c r="E2" s="1943"/>
      <c r="F2" s="1943"/>
      <c r="G2" s="1943"/>
      <c r="H2" s="1943"/>
      <c r="I2" s="1943"/>
      <c r="J2" s="1943"/>
      <c r="K2" s="1943"/>
      <c r="L2" s="1943"/>
      <c r="M2" s="1944"/>
      <c r="N2" s="1532"/>
      <c r="Q2" s="1607" t="s">
        <v>4366</v>
      </c>
      <c r="R2" s="1607" t="s">
        <v>6975</v>
      </c>
      <c r="S2" s="1607" t="s">
        <v>6977</v>
      </c>
      <c r="T2" s="1489" t="s">
        <v>4333</v>
      </c>
      <c r="U2" s="1607" t="s">
        <v>4239</v>
      </c>
      <c r="V2" s="1601" t="s">
        <v>4333</v>
      </c>
      <c r="W2" s="1601"/>
    </row>
    <row r="3" spans="1:23" ht="25.5" customHeight="1" thickBot="1" x14ac:dyDescent="0.3">
      <c r="A3" s="1816" t="s">
        <v>4385</v>
      </c>
      <c r="B3" s="1817"/>
      <c r="C3" s="1817"/>
      <c r="D3" s="1817"/>
      <c r="E3" s="1817"/>
      <c r="F3" s="1817"/>
      <c r="G3" s="1817"/>
      <c r="H3" s="1817"/>
      <c r="I3" s="1817"/>
      <c r="J3" s="1817"/>
      <c r="K3" s="1817"/>
      <c r="L3" s="1817"/>
      <c r="M3" s="1818"/>
      <c r="N3" s="1534" t="s">
        <v>4384</v>
      </c>
      <c r="O3" s="1533" t="s">
        <v>4383</v>
      </c>
      <c r="Q3" s="1607" t="s">
        <v>4382</v>
      </c>
      <c r="R3" s="1607" t="s">
        <v>6976</v>
      </c>
      <c r="S3" s="1607" t="s">
        <v>6978</v>
      </c>
      <c r="T3" s="1489"/>
      <c r="U3" s="1607" t="s">
        <v>6986</v>
      </c>
      <c r="V3" s="1601" t="s">
        <v>4381</v>
      </c>
      <c r="W3" s="1601"/>
    </row>
    <row r="4" spans="1:23" ht="27.75" customHeight="1" thickBot="1" x14ac:dyDescent="0.3">
      <c r="A4" s="1926" t="s">
        <v>6962</v>
      </c>
      <c r="B4" s="1927"/>
      <c r="C4" s="1927"/>
      <c r="D4" s="1927"/>
      <c r="E4" s="1927"/>
      <c r="F4" s="1927"/>
      <c r="G4" s="1927"/>
      <c r="H4" s="1927"/>
      <c r="I4" s="1927"/>
      <c r="J4" s="1927"/>
      <c r="K4" s="1927"/>
      <c r="L4" s="1927"/>
      <c r="M4" s="1928"/>
      <c r="N4" s="1532"/>
      <c r="O4" s="1559" t="s">
        <v>6964</v>
      </c>
      <c r="Q4" s="1607" t="s">
        <v>4380</v>
      </c>
      <c r="R4" s="1607"/>
      <c r="S4" s="1607" t="s">
        <v>6979</v>
      </c>
      <c r="T4" s="1489"/>
      <c r="U4" s="1607" t="s">
        <v>4237</v>
      </c>
      <c r="V4" s="1601"/>
      <c r="W4" s="1601"/>
    </row>
    <row r="5" spans="1:23" ht="25.5" customHeight="1" thickBot="1" x14ac:dyDescent="0.3">
      <c r="A5" s="1929" t="s">
        <v>6963</v>
      </c>
      <c r="B5" s="1930"/>
      <c r="C5" s="1930"/>
      <c r="D5" s="1930"/>
      <c r="E5" s="1930"/>
      <c r="F5" s="1930"/>
      <c r="G5" s="1930"/>
      <c r="H5" s="1930"/>
      <c r="I5" s="1930"/>
      <c r="J5" s="1930"/>
      <c r="K5" s="1930"/>
      <c r="L5" s="1930"/>
      <c r="M5" s="1931"/>
      <c r="N5" s="1608"/>
      <c r="O5" s="1531" t="s">
        <v>4379</v>
      </c>
      <c r="Q5" s="1607" t="s">
        <v>4365</v>
      </c>
      <c r="R5" s="1607"/>
      <c r="S5" s="1607" t="s">
        <v>6980</v>
      </c>
      <c r="T5" s="1601"/>
      <c r="U5" s="1607" t="s">
        <v>4236</v>
      </c>
      <c r="V5" s="1601"/>
      <c r="W5" s="1601"/>
    </row>
    <row r="6" spans="1:23" ht="55.5" customHeight="1" x14ac:dyDescent="0.25">
      <c r="A6" s="1519" t="s">
        <v>4310</v>
      </c>
      <c r="B6" s="1932" t="s">
        <v>6968</v>
      </c>
      <c r="C6" s="1932"/>
      <c r="D6" s="1932"/>
      <c r="E6" s="1932"/>
      <c r="F6" s="1932"/>
      <c r="G6" s="1932"/>
      <c r="H6" s="1932"/>
      <c r="I6" s="1932"/>
      <c r="J6" s="1932"/>
      <c r="K6" s="1932"/>
      <c r="L6" s="1933"/>
      <c r="M6" s="1934"/>
      <c r="N6" s="1490"/>
      <c r="Q6" s="1607" t="s">
        <v>4377</v>
      </c>
      <c r="R6" s="1607"/>
      <c r="S6" s="1607" t="s">
        <v>6981</v>
      </c>
      <c r="T6" s="1489"/>
      <c r="U6" s="1607" t="s">
        <v>6987</v>
      </c>
      <c r="V6" s="1601"/>
      <c r="W6" s="1601"/>
    </row>
    <row r="7" spans="1:23" ht="55.5" customHeight="1" x14ac:dyDescent="0.25">
      <c r="A7" s="1935"/>
      <c r="B7" s="1938" t="s">
        <v>7255</v>
      </c>
      <c r="C7" s="1939"/>
      <c r="D7" s="1939"/>
      <c r="E7" s="1939"/>
      <c r="F7" s="1939"/>
      <c r="G7" s="1939"/>
      <c r="H7" s="1939"/>
      <c r="I7" s="1939"/>
      <c r="J7" s="1939"/>
      <c r="K7" s="1939"/>
      <c r="L7" s="1940"/>
      <c r="M7" s="1941"/>
      <c r="N7" s="1490">
        <f>IF(LEN(B7)&gt;10,1,0)</f>
        <v>1</v>
      </c>
      <c r="Q7" s="1607" t="s">
        <v>4376</v>
      </c>
      <c r="R7" s="1607"/>
      <c r="S7" s="1607" t="s">
        <v>6982</v>
      </c>
      <c r="T7" s="1489"/>
      <c r="U7" s="1607" t="s">
        <v>4234</v>
      </c>
      <c r="V7" s="1601"/>
      <c r="W7" s="1601"/>
    </row>
    <row r="8" spans="1:23" ht="55.5" customHeight="1" x14ac:dyDescent="0.25">
      <c r="A8" s="1936"/>
      <c r="B8" s="1939"/>
      <c r="C8" s="1939"/>
      <c r="D8" s="1939"/>
      <c r="E8" s="1939"/>
      <c r="F8" s="1939"/>
      <c r="G8" s="1939"/>
      <c r="H8" s="1939"/>
      <c r="I8" s="1939"/>
      <c r="J8" s="1939"/>
      <c r="K8" s="1939"/>
      <c r="L8" s="1940"/>
      <c r="M8" s="1941"/>
      <c r="N8" s="1490"/>
      <c r="Q8" s="1607" t="s">
        <v>4374</v>
      </c>
      <c r="R8" s="1607"/>
      <c r="S8" s="1607" t="s">
        <v>4378</v>
      </c>
      <c r="T8" s="1489"/>
      <c r="U8" s="1607" t="s">
        <v>4233</v>
      </c>
      <c r="V8" s="1601"/>
      <c r="W8" s="1601"/>
    </row>
    <row r="9" spans="1:23" ht="55.5" customHeight="1" x14ac:dyDescent="0.25">
      <c r="A9" s="1937"/>
      <c r="B9" s="1939"/>
      <c r="C9" s="1939"/>
      <c r="D9" s="1939"/>
      <c r="E9" s="1939"/>
      <c r="F9" s="1939"/>
      <c r="G9" s="1939"/>
      <c r="H9" s="1939"/>
      <c r="I9" s="1939"/>
      <c r="J9" s="1939"/>
      <c r="K9" s="1939"/>
      <c r="L9" s="1940"/>
      <c r="M9" s="1941"/>
      <c r="N9" s="1490"/>
      <c r="Q9" s="1607" t="s">
        <v>4372</v>
      </c>
      <c r="R9" s="1607"/>
      <c r="S9" s="1607" t="s">
        <v>4347</v>
      </c>
      <c r="T9" s="1489"/>
      <c r="U9" s="1607" t="s">
        <v>4232</v>
      </c>
      <c r="V9" s="1601"/>
      <c r="W9" s="1601"/>
    </row>
    <row r="10" spans="1:23" ht="28.5" customHeight="1" x14ac:dyDescent="0.25">
      <c r="A10" s="1542"/>
      <c r="B10" s="1540"/>
      <c r="C10" s="1540"/>
      <c r="D10" s="1540"/>
      <c r="E10" s="1540"/>
      <c r="F10" s="1540"/>
      <c r="G10" s="1906" t="s">
        <v>4371</v>
      </c>
      <c r="H10" s="1907"/>
      <c r="I10" s="1906" t="s">
        <v>4370</v>
      </c>
      <c r="J10" s="1920"/>
      <c r="K10" s="1907"/>
      <c r="L10" s="1906" t="s">
        <v>4369</v>
      </c>
      <c r="M10" s="1921"/>
      <c r="N10" s="1490"/>
      <c r="Q10" s="1607" t="s">
        <v>4368</v>
      </c>
      <c r="R10" s="1607"/>
      <c r="S10" s="1607" t="s">
        <v>4375</v>
      </c>
      <c r="T10" s="1489"/>
      <c r="U10" s="1607" t="s">
        <v>4231</v>
      </c>
      <c r="V10" s="1601"/>
      <c r="W10" s="1601"/>
    </row>
    <row r="11" spans="1:23" ht="86.25" customHeight="1" x14ac:dyDescent="0.25">
      <c r="A11" s="1519" t="s">
        <v>4307</v>
      </c>
      <c r="B11" s="1976" t="s">
        <v>6965</v>
      </c>
      <c r="C11" s="1977"/>
      <c r="D11" s="1977"/>
      <c r="E11" s="1977"/>
      <c r="F11" s="1978"/>
      <c r="G11" s="1917" t="s">
        <v>6966</v>
      </c>
      <c r="H11" s="1918"/>
      <c r="I11" s="1917" t="s">
        <v>4377</v>
      </c>
      <c r="J11" s="1919"/>
      <c r="K11" s="1918"/>
      <c r="L11" s="1917" t="s">
        <v>4365</v>
      </c>
      <c r="M11" s="1922"/>
      <c r="N11" s="1490">
        <f>IF(OR(G11="",I11="",L11=""),0,IF(OR(G11=I11,G11=L11,I11=L11),0,1))</f>
        <v>1</v>
      </c>
      <c r="Q11" s="1607" t="s">
        <v>4364</v>
      </c>
      <c r="R11" s="1607"/>
      <c r="S11" s="1607" t="s">
        <v>4373</v>
      </c>
      <c r="T11" s="1489"/>
      <c r="U11" s="1607" t="s">
        <v>4230</v>
      </c>
      <c r="V11" s="1601"/>
      <c r="W11" s="1601"/>
    </row>
    <row r="12" spans="1:23" ht="30.75" customHeight="1" x14ac:dyDescent="0.25">
      <c r="A12" s="1541"/>
      <c r="B12" s="1896" t="s">
        <v>4363</v>
      </c>
      <c r="C12" s="1896"/>
      <c r="D12" s="1896"/>
      <c r="E12" s="1896"/>
      <c r="F12" s="1897"/>
      <c r="G12" s="1850"/>
      <c r="H12" s="1850"/>
      <c r="I12" s="1850"/>
      <c r="J12" s="1850"/>
      <c r="K12" s="1850"/>
      <c r="L12" s="1850"/>
      <c r="M12" s="1851"/>
      <c r="N12" s="1490"/>
      <c r="Q12" s="1607" t="s">
        <v>6966</v>
      </c>
      <c r="R12" s="1607"/>
      <c r="S12" s="1607" t="s">
        <v>4346</v>
      </c>
      <c r="T12" s="1489"/>
      <c r="U12" s="1607" t="s">
        <v>4229</v>
      </c>
      <c r="V12" s="1601"/>
      <c r="W12" s="1601"/>
    </row>
    <row r="13" spans="1:23" ht="58.5" customHeight="1" x14ac:dyDescent="0.25">
      <c r="A13" s="1543" t="str">
        <f>IF(OR(G11="Other", I11="Other",M11="Other"),"Required","")</f>
        <v/>
      </c>
      <c r="B13" s="1829" t="str">
        <f>IF(COUNTIF(G11:M11,"Other"),"Required","")</f>
        <v/>
      </c>
      <c r="C13" s="1829"/>
      <c r="D13" s="1829"/>
      <c r="E13" s="1829"/>
      <c r="F13" s="1830"/>
      <c r="G13" s="1965"/>
      <c r="H13" s="1965"/>
      <c r="I13" s="1965"/>
      <c r="J13" s="1965"/>
      <c r="K13" s="1965"/>
      <c r="L13" s="1965"/>
      <c r="M13" s="1966"/>
      <c r="N13" s="1490">
        <f>IF(B13="",1,IF(LEN(G12)&gt;10,1,0))</f>
        <v>1</v>
      </c>
      <c r="Q13" s="1607" t="s">
        <v>6967</v>
      </c>
      <c r="R13" s="1607"/>
      <c r="S13" s="1607" t="s">
        <v>4367</v>
      </c>
      <c r="T13" s="1489"/>
      <c r="U13" s="1607" t="s">
        <v>4228</v>
      </c>
      <c r="V13" s="1601"/>
      <c r="W13" s="1601"/>
    </row>
    <row r="14" spans="1:23" ht="6" customHeight="1" x14ac:dyDescent="0.25">
      <c r="A14" s="1879"/>
      <c r="B14" s="1967"/>
      <c r="C14" s="1967"/>
      <c r="D14" s="1967"/>
      <c r="E14" s="1967"/>
      <c r="F14" s="1967"/>
      <c r="G14" s="1967"/>
      <c r="H14" s="1967"/>
      <c r="I14" s="1967"/>
      <c r="J14" s="1967"/>
      <c r="K14" s="1967"/>
      <c r="L14" s="1967"/>
      <c r="M14" s="1968"/>
      <c r="N14" s="1490"/>
      <c r="Q14" s="1607" t="s">
        <v>4328</v>
      </c>
      <c r="R14" s="1607"/>
      <c r="S14" s="1607" t="s">
        <v>6983</v>
      </c>
      <c r="T14" s="1489"/>
      <c r="U14" s="1607" t="s">
        <v>4227</v>
      </c>
      <c r="V14" s="1601"/>
      <c r="W14" s="1601"/>
    </row>
    <row r="15" spans="1:23" ht="20.25" customHeight="1" x14ac:dyDescent="0.25">
      <c r="A15" s="1816" t="s">
        <v>4360</v>
      </c>
      <c r="B15" s="1817"/>
      <c r="C15" s="1817"/>
      <c r="D15" s="1817"/>
      <c r="E15" s="1817"/>
      <c r="F15" s="1817"/>
      <c r="G15" s="1817"/>
      <c r="H15" s="1817"/>
      <c r="I15" s="1817"/>
      <c r="J15" s="1817"/>
      <c r="K15" s="1817"/>
      <c r="L15" s="1817"/>
      <c r="M15" s="1818"/>
      <c r="N15" s="1490"/>
      <c r="O15" s="1489"/>
      <c r="P15" s="1489"/>
      <c r="Q15" s="1489"/>
      <c r="R15" s="1489"/>
      <c r="S15" s="1607" t="s">
        <v>4362</v>
      </c>
      <c r="T15" s="1601"/>
      <c r="U15" s="1607" t="s">
        <v>4226</v>
      </c>
      <c r="V15" s="1601"/>
      <c r="W15" s="1601"/>
    </row>
    <row r="16" spans="1:23" ht="36.75" customHeight="1" x14ac:dyDescent="0.25">
      <c r="A16" s="1819" t="s">
        <v>6969</v>
      </c>
      <c r="B16" s="1820"/>
      <c r="C16" s="1820"/>
      <c r="D16" s="1820"/>
      <c r="E16" s="1820"/>
      <c r="F16" s="1820"/>
      <c r="G16" s="1820"/>
      <c r="H16" s="1820"/>
      <c r="I16" s="1820"/>
      <c r="J16" s="1820"/>
      <c r="K16" s="1820"/>
      <c r="L16" s="1820"/>
      <c r="M16" s="1821"/>
      <c r="N16" s="1490"/>
      <c r="O16" s="1489"/>
      <c r="P16" s="1489"/>
      <c r="Q16" s="1489"/>
      <c r="R16" s="1489"/>
      <c r="S16" s="1607" t="s">
        <v>4361</v>
      </c>
      <c r="T16" s="1601"/>
      <c r="U16" s="1607" t="s">
        <v>4225</v>
      </c>
      <c r="V16" s="1601"/>
      <c r="W16" s="1601"/>
    </row>
    <row r="17" spans="1:23" ht="22.5" customHeight="1" x14ac:dyDescent="0.25">
      <c r="A17" s="1973" t="s">
        <v>4359</v>
      </c>
      <c r="B17" s="1974"/>
      <c r="C17" s="1974"/>
      <c r="D17" s="1974"/>
      <c r="E17" s="1974"/>
      <c r="F17" s="1974"/>
      <c r="G17" s="1974"/>
      <c r="H17" s="1974"/>
      <c r="I17" s="1974"/>
      <c r="J17" s="1974"/>
      <c r="K17" s="1974"/>
      <c r="L17" s="1974"/>
      <c r="M17" s="1975"/>
      <c r="N17" s="1490"/>
      <c r="O17" s="1489"/>
      <c r="P17" s="1489"/>
      <c r="Q17" s="1489"/>
      <c r="R17" s="1489"/>
      <c r="S17" s="1489"/>
      <c r="T17" s="1601"/>
      <c r="U17" s="1607" t="s">
        <v>4224</v>
      </c>
      <c r="V17" s="1601"/>
      <c r="W17" s="1601"/>
    </row>
    <row r="18" spans="1:23" ht="15" customHeight="1" x14ac:dyDescent="0.25">
      <c r="A18" s="1969" t="s">
        <v>6984</v>
      </c>
      <c r="B18" s="1970"/>
      <c r="C18" s="1970"/>
      <c r="D18" s="1970"/>
      <c r="E18" s="1945" t="s">
        <v>4358</v>
      </c>
      <c r="F18" s="1544" t="s">
        <v>4357</v>
      </c>
      <c r="G18" s="1574">
        <f>IF(Cover!H13=0,"",VLOOKUP($O$1,'FY23 Data for FY24 Plan'!$A$3:$BC$929,3,FALSE))</f>
        <v>421.43</v>
      </c>
      <c r="H18" s="1898" t="s">
        <v>4356</v>
      </c>
      <c r="I18" s="1899"/>
      <c r="J18" s="1900">
        <f>IF(Cover!H13=0,"",VLOOKUP($O$1,'FY23 Data for FY24 Plan'!$A$3:$BC$929,4,FALSE))</f>
        <v>5616649.3099999996</v>
      </c>
      <c r="K18" s="1901"/>
      <c r="L18" s="1526"/>
      <c r="M18" s="1525"/>
      <c r="N18" s="1490"/>
      <c r="O18" s="1489"/>
      <c r="P18" s="1489"/>
      <c r="Q18" s="1489"/>
      <c r="R18" s="1489"/>
      <c r="S18" s="1489"/>
      <c r="T18" s="1601"/>
      <c r="U18" s="1607" t="s">
        <v>4223</v>
      </c>
      <c r="V18" s="1601"/>
      <c r="W18" s="1601"/>
    </row>
    <row r="19" spans="1:23" x14ac:dyDescent="0.25">
      <c r="A19" s="1971"/>
      <c r="B19" s="1972"/>
      <c r="C19" s="1972"/>
      <c r="D19" s="1972"/>
      <c r="E19" s="1946"/>
      <c r="F19" s="2004"/>
      <c r="G19" s="2004"/>
      <c r="H19" s="2004"/>
      <c r="I19" s="2004"/>
      <c r="J19" s="2004"/>
      <c r="K19" s="2005"/>
      <c r="L19" s="1595"/>
      <c r="M19" s="1595"/>
      <c r="N19" s="1490"/>
      <c r="O19" s="1489"/>
      <c r="P19" s="1489"/>
      <c r="Q19" s="1489"/>
      <c r="R19" s="1489"/>
      <c r="S19" s="1489"/>
      <c r="T19" s="1601"/>
      <c r="U19" s="1607" t="s">
        <v>4222</v>
      </c>
      <c r="V19" s="1601"/>
      <c r="W19" s="1601"/>
    </row>
    <row r="20" spans="1:23" x14ac:dyDescent="0.25">
      <c r="A20" s="1971"/>
      <c r="B20" s="1972"/>
      <c r="C20" s="1972"/>
      <c r="D20" s="1972"/>
      <c r="E20" s="1946"/>
      <c r="F20" s="1544" t="s">
        <v>4246</v>
      </c>
      <c r="G20" s="1522">
        <f>IF(Cover!H13=0,"",VLOOKUP($O$1,'FY23 Data for FY24 Plan'!$A$3:$BC$929,5,FALSE))</f>
        <v>5022763.0199999996</v>
      </c>
      <c r="H20" s="1963" t="s">
        <v>4355</v>
      </c>
      <c r="I20" s="1964"/>
      <c r="J20" s="2035">
        <f>IF(Cover!H13=0,"",VLOOKUP($O$1,'FY23 Data for FY24 Plan'!$A$3:$BC$929,6,FALSE))</f>
        <v>0.89426324179744809</v>
      </c>
      <c r="K20" s="2036"/>
      <c r="L20" s="1530"/>
      <c r="M20" s="1529"/>
      <c r="N20" s="1490"/>
      <c r="O20" s="1489"/>
      <c r="P20" s="1489"/>
      <c r="Q20" s="1489"/>
      <c r="R20" s="1489"/>
      <c r="S20" s="1489"/>
      <c r="T20" s="1601"/>
      <c r="U20" s="1607" t="s">
        <v>4221</v>
      </c>
      <c r="V20" s="1601"/>
      <c r="W20" s="1601"/>
    </row>
    <row r="21" spans="1:23" x14ac:dyDescent="0.25">
      <c r="A21" s="1971"/>
      <c r="B21" s="1972"/>
      <c r="C21" s="1972"/>
      <c r="D21" s="1972"/>
      <c r="E21" s="1946"/>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25">
      <c r="A22" s="1971"/>
      <c r="B22" s="1972"/>
      <c r="C22" s="1972"/>
      <c r="D22" s="1972"/>
      <c r="E22" s="1945" t="s">
        <v>7226</v>
      </c>
      <c r="F22" s="1544" t="s">
        <v>4244</v>
      </c>
      <c r="G22" s="1528">
        <f>IF(Cover!H13=0,"",VLOOKUP($O$1,'FY23 Data for FY24 Plan'!$A$3:$BC$929,7,FALSE))</f>
        <v>2</v>
      </c>
      <c r="H22" s="1963" t="s">
        <v>4354</v>
      </c>
      <c r="I22" s="1964"/>
      <c r="J22" s="1900">
        <f>IF(Cover!H13=0,"",VLOOKUP($O$1,'FY23 Data for FY24 Plan'!$A$3:$BC$929,10,FALSE))</f>
        <v>833212.43999999983</v>
      </c>
      <c r="K22" s="1901"/>
      <c r="L22" s="1526"/>
      <c r="M22" s="1527"/>
      <c r="N22" s="1490"/>
      <c r="O22" s="1489"/>
      <c r="P22" s="1489"/>
      <c r="Q22" s="1489"/>
      <c r="R22" s="1489"/>
      <c r="S22" s="1489"/>
      <c r="T22" s="1601"/>
      <c r="U22" s="1607" t="s">
        <v>4219</v>
      </c>
      <c r="V22" s="1601"/>
      <c r="W22" s="1601"/>
    </row>
    <row r="23" spans="1:23" x14ac:dyDescent="0.25">
      <c r="A23" s="1971"/>
      <c r="B23" s="1972"/>
      <c r="C23" s="1972"/>
      <c r="D23" s="1972"/>
      <c r="E23" s="1946"/>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25">
      <c r="A24" s="1971"/>
      <c r="B24" s="1972"/>
      <c r="C24" s="1972"/>
      <c r="D24" s="1972"/>
      <c r="E24" s="1946"/>
      <c r="F24" s="1544" t="s">
        <v>4353</v>
      </c>
      <c r="G24" s="1522">
        <f>IF(Cover!H13=0,"",VLOOKUP($O$1,'FY23 Data for FY24 Plan'!$A$3:$BC$929,9,FALSE))</f>
        <v>820592.58999999985</v>
      </c>
      <c r="H24" s="2037" t="s">
        <v>6970</v>
      </c>
      <c r="I24" s="2038"/>
      <c r="J24" s="1900">
        <f>IF(Cover!H13=0,"",VLOOKUP($O$1,'FY23 Data for FY24 Plan'!$A$3:$BC$929,8,FALSE))</f>
        <v>12619.85</v>
      </c>
      <c r="K24" s="1901"/>
      <c r="L24" s="1526"/>
      <c r="M24" s="1525"/>
      <c r="N24" s="1490"/>
      <c r="O24" s="1489"/>
      <c r="P24" s="1489"/>
      <c r="Q24" s="1489"/>
      <c r="R24" s="1489"/>
      <c r="S24" s="1489"/>
      <c r="T24" s="1601"/>
      <c r="U24" s="1607" t="s">
        <v>4306</v>
      </c>
      <c r="V24" s="1601"/>
      <c r="W24" s="1601"/>
    </row>
    <row r="25" spans="1:23" x14ac:dyDescent="0.25">
      <c r="A25" s="1971"/>
      <c r="B25" s="1972"/>
      <c r="C25" s="1972"/>
      <c r="D25" s="1972"/>
      <c r="E25" s="1946"/>
      <c r="F25" s="1612"/>
      <c r="G25" s="1612"/>
      <c r="H25" s="1952"/>
      <c r="I25" s="1953"/>
      <c r="J25" s="1950"/>
      <c r="K25" s="1951"/>
      <c r="L25" s="1524"/>
      <c r="M25" s="1523"/>
      <c r="N25" s="1490"/>
      <c r="O25" s="1489"/>
      <c r="P25" s="1489"/>
      <c r="Q25" s="1489"/>
      <c r="R25" s="1489"/>
      <c r="S25" s="1489"/>
      <c r="T25" s="1601"/>
      <c r="U25" s="1607" t="s">
        <v>4304</v>
      </c>
      <c r="V25" s="1601"/>
      <c r="W25" s="1601"/>
    </row>
    <row r="26" spans="1:23" ht="15" customHeight="1" x14ac:dyDescent="0.25">
      <c r="A26" s="1971"/>
      <c r="B26" s="1972"/>
      <c r="C26" s="1972"/>
      <c r="D26" s="1972"/>
      <c r="E26" s="1945" t="s">
        <v>6974</v>
      </c>
      <c r="F26" s="1544" t="s">
        <v>6996</v>
      </c>
      <c r="G26" s="1522">
        <f>IF(Cover!H13=0,"",VLOOKUP(O1,'FY23 Data for FY24 Plan'!$A$3:$BC$929,53,FALSE))</f>
        <v>89818.040000000008</v>
      </c>
      <c r="H26" s="1521"/>
      <c r="I26" s="1521"/>
      <c r="J26" s="1521"/>
      <c r="K26" s="1521"/>
      <c r="L26" s="1613"/>
      <c r="M26" s="1595"/>
      <c r="N26" s="1490"/>
      <c r="O26" s="1489"/>
      <c r="P26" s="1489"/>
      <c r="Q26" s="1489"/>
      <c r="R26" s="1489"/>
      <c r="S26" s="1489"/>
      <c r="T26" s="1601"/>
      <c r="U26" s="1607" t="s">
        <v>4305</v>
      </c>
      <c r="V26" s="1601"/>
      <c r="W26" s="1601"/>
    </row>
    <row r="27" spans="1:23" x14ac:dyDescent="0.25">
      <c r="A27" s="1971"/>
      <c r="B27" s="1972"/>
      <c r="C27" s="1972"/>
      <c r="D27" s="1972"/>
      <c r="E27" s="1946"/>
      <c r="F27" s="1544" t="s">
        <v>4352</v>
      </c>
      <c r="G27" s="1522">
        <f>IF(Cover!H13=0,"",VLOOKUP(O1,'FY23 Data for FY24 Plan'!$A$3:$BC$929,54,FALSE))</f>
        <v>86.59</v>
      </c>
      <c r="H27" s="1521"/>
      <c r="I27" s="1613"/>
      <c r="J27" s="1613"/>
      <c r="K27" s="1595"/>
      <c r="L27" s="1595"/>
      <c r="M27" s="1595"/>
      <c r="N27" s="1490"/>
      <c r="O27" s="1489"/>
      <c r="P27" s="1489"/>
      <c r="Q27" s="1489"/>
      <c r="R27" s="1489"/>
      <c r="S27" s="1489"/>
      <c r="T27" s="1601"/>
      <c r="U27" s="1607" t="s">
        <v>4303</v>
      </c>
      <c r="V27" s="1601"/>
      <c r="W27" s="1601"/>
    </row>
    <row r="28" spans="1:23" x14ac:dyDescent="0.25">
      <c r="A28" s="1971"/>
      <c r="B28" s="1972"/>
      <c r="C28" s="1972"/>
      <c r="D28" s="1972"/>
      <c r="E28" s="1946"/>
      <c r="F28" s="1544" t="s">
        <v>4308</v>
      </c>
      <c r="G28" s="1522">
        <f>IF(Cover!H13=0,"",VLOOKUP($O$1,'FY23 Data for FY24 Plan'!$A$3:$BC$929,55,FALSE))</f>
        <v>162015.54999999996</v>
      </c>
      <c r="H28" s="1521"/>
      <c r="I28" s="1613"/>
      <c r="J28" s="1613"/>
      <c r="K28" s="1595"/>
      <c r="L28" s="1595"/>
      <c r="M28" s="1595"/>
      <c r="N28" s="1490"/>
      <c r="O28" s="1489"/>
      <c r="P28" s="1489"/>
      <c r="Q28" s="1489"/>
      <c r="R28" s="1489"/>
      <c r="S28" s="1489"/>
      <c r="T28" s="1601"/>
      <c r="U28" s="1607" t="s">
        <v>4210</v>
      </c>
      <c r="V28" s="1601"/>
      <c r="W28" s="1601"/>
    </row>
    <row r="29" spans="1:23" ht="9" customHeight="1" x14ac:dyDescent="0.25">
      <c r="A29" s="1947"/>
      <c r="B29" s="1948"/>
      <c r="C29" s="1948"/>
      <c r="D29" s="1948"/>
      <c r="E29" s="1948"/>
      <c r="F29" s="1948"/>
      <c r="G29" s="1948"/>
      <c r="H29" s="1948"/>
      <c r="I29" s="1948"/>
      <c r="J29" s="1948"/>
      <c r="K29" s="1948"/>
      <c r="L29" s="1948"/>
      <c r="M29" s="1949"/>
      <c r="N29" s="1490"/>
      <c r="O29" s="1489"/>
      <c r="P29" s="1489"/>
      <c r="Q29" s="1489"/>
      <c r="R29" s="1489"/>
      <c r="S29" s="1489"/>
      <c r="T29" s="1601"/>
      <c r="U29" s="1607" t="s">
        <v>4209</v>
      </c>
      <c r="V29" s="1601"/>
      <c r="W29" s="1601"/>
    </row>
    <row r="30" spans="1:23" ht="34.5" customHeight="1" x14ac:dyDescent="0.25">
      <c r="A30" s="2033"/>
      <c r="B30" s="1997"/>
      <c r="C30" s="1997"/>
      <c r="D30" s="1997"/>
      <c r="E30" s="1997"/>
      <c r="F30" s="2034"/>
      <c r="G30" s="1600" t="s">
        <v>6972</v>
      </c>
      <c r="H30" s="1600" t="s">
        <v>6973</v>
      </c>
      <c r="I30" s="2027" t="s">
        <v>6971</v>
      </c>
      <c r="J30" s="2028"/>
      <c r="K30" s="2028"/>
      <c r="L30" s="2028"/>
      <c r="M30" s="2029"/>
      <c r="N30" s="1490"/>
      <c r="O30" s="1496"/>
      <c r="P30" s="1489"/>
      <c r="Q30" s="1489"/>
      <c r="R30" s="1489"/>
      <c r="S30" s="1489"/>
      <c r="T30" s="1601"/>
      <c r="U30" s="1607" t="s">
        <v>4208</v>
      </c>
      <c r="V30" s="1601"/>
      <c r="W30" s="1601"/>
    </row>
    <row r="31" spans="1:23" ht="22.5" customHeight="1" x14ac:dyDescent="0.25">
      <c r="A31" s="1979" t="s">
        <v>4310</v>
      </c>
      <c r="B31" s="1993" t="s">
        <v>7227</v>
      </c>
      <c r="C31" s="1993"/>
      <c r="D31" s="1993"/>
      <c r="E31" s="1993"/>
      <c r="F31" s="1994"/>
      <c r="G31" s="2020">
        <v>833212</v>
      </c>
      <c r="H31" s="2022" t="s">
        <v>6975</v>
      </c>
      <c r="I31" s="2030"/>
      <c r="J31" s="2031"/>
      <c r="K31" s="2031"/>
      <c r="L31" s="2031"/>
      <c r="M31" s="2032"/>
      <c r="N31" s="1490">
        <f>IF(AND(ISNUMBER(G31),H31&lt;&gt;0),1,0)</f>
        <v>1</v>
      </c>
      <c r="O31" s="1489"/>
      <c r="P31" s="1489"/>
      <c r="Q31" s="1489"/>
      <c r="R31" s="1489"/>
      <c r="S31" s="1489"/>
      <c r="T31" s="1489"/>
      <c r="U31" s="1607" t="s">
        <v>4207</v>
      </c>
      <c r="V31" s="1601"/>
      <c r="W31" s="1601"/>
    </row>
    <row r="32" spans="1:23" ht="22.5" customHeight="1" x14ac:dyDescent="0.25">
      <c r="A32" s="1979"/>
      <c r="B32" s="1995"/>
      <c r="C32" s="1995"/>
      <c r="D32" s="1995"/>
      <c r="E32" s="1995"/>
      <c r="F32" s="1996"/>
      <c r="G32" s="2021"/>
      <c r="H32" s="2023"/>
      <c r="I32" s="2030"/>
      <c r="J32" s="2031"/>
      <c r="K32" s="2031"/>
      <c r="L32" s="2031"/>
      <c r="M32" s="2032"/>
      <c r="N32" s="1490"/>
      <c r="O32" s="1489"/>
      <c r="P32" s="1489"/>
      <c r="Q32" s="1489"/>
      <c r="R32" s="1489"/>
      <c r="S32" s="1489"/>
      <c r="T32" s="1489"/>
      <c r="U32" s="1607" t="s">
        <v>4206</v>
      </c>
      <c r="V32" s="1601"/>
      <c r="W32" s="1601"/>
    </row>
    <row r="33" spans="1:23" ht="30.75" customHeight="1" x14ac:dyDescent="0.25">
      <c r="A33" s="1979"/>
      <c r="B33" s="2018"/>
      <c r="C33" s="2018"/>
      <c r="D33" s="2018"/>
      <c r="E33" s="2018"/>
      <c r="F33" s="2019"/>
      <c r="G33" s="2024"/>
      <c r="H33" s="2025"/>
      <c r="I33" s="2025"/>
      <c r="J33" s="2025"/>
      <c r="K33" s="2025"/>
      <c r="L33" s="2025"/>
      <c r="M33" s="2026"/>
      <c r="N33" s="1490"/>
      <c r="O33" s="1489"/>
      <c r="P33" s="1489"/>
      <c r="Q33" s="1489"/>
      <c r="R33" s="1489"/>
      <c r="S33" s="1489"/>
      <c r="T33" s="1489"/>
      <c r="U33" s="1607" t="s">
        <v>4205</v>
      </c>
      <c r="V33" s="1601"/>
      <c r="W33" s="1601"/>
    </row>
    <row r="34" spans="1:23" ht="28.5" customHeight="1" x14ac:dyDescent="0.25">
      <c r="A34" s="1542"/>
      <c r="B34" s="1540"/>
      <c r="C34" s="1540"/>
      <c r="D34" s="1540"/>
      <c r="E34" s="1540"/>
      <c r="F34" s="1540"/>
      <c r="G34" s="1906" t="s">
        <v>4351</v>
      </c>
      <c r="H34" s="1907"/>
      <c r="I34" s="1906" t="s">
        <v>4350</v>
      </c>
      <c r="J34" s="1908"/>
      <c r="K34" s="1909"/>
      <c r="L34" s="1910" t="s">
        <v>4349</v>
      </c>
      <c r="M34" s="1911"/>
      <c r="N34" s="1490"/>
      <c r="O34" s="1489"/>
      <c r="P34" s="1489"/>
      <c r="Q34" s="1489"/>
      <c r="R34" s="1489"/>
      <c r="S34" s="1489"/>
      <c r="T34" s="1489"/>
      <c r="U34" s="1607" t="s">
        <v>4204</v>
      </c>
      <c r="V34" s="1601"/>
      <c r="W34" s="1601"/>
    </row>
    <row r="35" spans="1:23" ht="63.75" customHeight="1" x14ac:dyDescent="0.25">
      <c r="A35" s="1519" t="s">
        <v>4307</v>
      </c>
      <c r="B35" s="2042" t="s">
        <v>4348</v>
      </c>
      <c r="C35" s="2042"/>
      <c r="D35" s="2042"/>
      <c r="E35" s="2042"/>
      <c r="F35" s="2042"/>
      <c r="G35" s="1917" t="s">
        <v>6979</v>
      </c>
      <c r="H35" s="1918"/>
      <c r="I35" s="1917" t="s">
        <v>6980</v>
      </c>
      <c r="J35" s="1919"/>
      <c r="K35" s="1918"/>
      <c r="L35" s="1917" t="s">
        <v>4361</v>
      </c>
      <c r="M35" s="1922"/>
      <c r="N35" s="1490">
        <f>IF(OR(G35="",I35="",L35=""),0,IF(OR(G35=I35,G35=L35,I35=L35),0,1))</f>
        <v>1</v>
      </c>
      <c r="O35" s="1496"/>
      <c r="P35" s="1489"/>
      <c r="Q35" s="1489"/>
      <c r="R35" s="1489"/>
      <c r="S35" s="1489"/>
      <c r="T35" s="1601"/>
      <c r="U35" s="1607" t="s">
        <v>4203</v>
      </c>
      <c r="V35" s="1601"/>
      <c r="W35" s="1601"/>
    </row>
    <row r="36" spans="1:23" ht="6" customHeight="1" x14ac:dyDescent="0.25">
      <c r="A36" s="1986"/>
      <c r="B36" s="2041"/>
      <c r="C36" s="2041"/>
      <c r="D36" s="2041"/>
      <c r="E36" s="2041"/>
      <c r="F36" s="2041"/>
      <c r="G36" s="1987"/>
      <c r="H36" s="1987"/>
      <c r="I36" s="1987"/>
      <c r="J36" s="1987"/>
      <c r="K36" s="1987"/>
      <c r="L36" s="1988"/>
      <c r="M36" s="1989"/>
      <c r="N36" s="1490"/>
      <c r="O36" s="1496"/>
      <c r="P36" s="1489"/>
      <c r="Q36" s="1489"/>
      <c r="R36" s="1489"/>
      <c r="S36" s="1489"/>
      <c r="T36" s="1601"/>
      <c r="U36" s="1607" t="s">
        <v>4328</v>
      </c>
      <c r="V36" s="1601"/>
      <c r="W36" s="1601"/>
    </row>
    <row r="37" spans="1:23" ht="31.5" customHeight="1" x14ac:dyDescent="0.25">
      <c r="A37" s="1954" t="s">
        <v>4301</v>
      </c>
      <c r="B37" s="1957" t="s">
        <v>4345</v>
      </c>
      <c r="C37" s="1958"/>
      <c r="D37" s="1958"/>
      <c r="E37" s="1958"/>
      <c r="F37" s="1959"/>
      <c r="G37" s="1545" t="s">
        <v>4344</v>
      </c>
      <c r="H37" s="1555"/>
      <c r="I37" s="1867" t="s">
        <v>4343</v>
      </c>
      <c r="J37" s="1868"/>
      <c r="K37" s="1555" t="s">
        <v>4333</v>
      </c>
      <c r="L37" s="1545" t="s">
        <v>4342</v>
      </c>
      <c r="M37" s="1556" t="s">
        <v>4333</v>
      </c>
      <c r="N37" s="1490">
        <f>IF(COUNTIF(H37:M40,"Yes"),1,0)</f>
        <v>1</v>
      </c>
      <c r="O37" s="1496"/>
      <c r="P37" s="1489"/>
      <c r="Q37" s="1489"/>
      <c r="R37" s="1489"/>
      <c r="S37" s="1489"/>
    </row>
    <row r="38" spans="1:23" ht="31.5" customHeight="1" x14ac:dyDescent="0.25">
      <c r="A38" s="1955"/>
      <c r="B38" s="1912"/>
      <c r="C38" s="1913"/>
      <c r="D38" s="1913"/>
      <c r="E38" s="1913"/>
      <c r="F38" s="1916"/>
      <c r="G38" s="1545" t="s">
        <v>4341</v>
      </c>
      <c r="H38" s="1555" t="s">
        <v>4333</v>
      </c>
      <c r="I38" s="1867" t="s">
        <v>4340</v>
      </c>
      <c r="J38" s="1868"/>
      <c r="K38" s="1555" t="s">
        <v>4333</v>
      </c>
      <c r="L38" s="1546" t="s">
        <v>4339</v>
      </c>
      <c r="M38" s="1556"/>
      <c r="N38" s="1490"/>
      <c r="O38" s="1489"/>
      <c r="P38" s="1489"/>
      <c r="Q38" s="1489"/>
      <c r="R38" s="1489"/>
      <c r="S38" s="1489"/>
    </row>
    <row r="39" spans="1:23" ht="31.5" customHeight="1" x14ac:dyDescent="0.25">
      <c r="A39" s="1955"/>
      <c r="B39" s="1912"/>
      <c r="C39" s="1913"/>
      <c r="D39" s="1913"/>
      <c r="E39" s="1913"/>
      <c r="F39" s="1916"/>
      <c r="G39" s="1545" t="s">
        <v>4338</v>
      </c>
      <c r="H39" s="1555" t="s">
        <v>4333</v>
      </c>
      <c r="I39" s="1867" t="s">
        <v>4337</v>
      </c>
      <c r="J39" s="1868"/>
      <c r="K39" s="1555" t="s">
        <v>4333</v>
      </c>
      <c r="L39" s="1545" t="s">
        <v>4336</v>
      </c>
      <c r="M39" s="1556" t="s">
        <v>4333</v>
      </c>
      <c r="N39" s="1490"/>
      <c r="O39" s="1496"/>
      <c r="P39" s="1489"/>
      <c r="Q39" s="1489"/>
      <c r="R39" s="1489"/>
      <c r="S39" s="1489"/>
    </row>
    <row r="40" spans="1:23" ht="31.5" customHeight="1" x14ac:dyDescent="0.25">
      <c r="A40" s="1956"/>
      <c r="B40" s="1960"/>
      <c r="C40" s="1961"/>
      <c r="D40" s="1961"/>
      <c r="E40" s="1961"/>
      <c r="F40" s="1962"/>
      <c r="G40" s="1545" t="s">
        <v>4335</v>
      </c>
      <c r="H40" s="1555" t="s">
        <v>4333</v>
      </c>
      <c r="I40" s="1867" t="s">
        <v>4334</v>
      </c>
      <c r="J40" s="1868"/>
      <c r="K40" s="1555" t="s">
        <v>4333</v>
      </c>
      <c r="L40" s="1546" t="s">
        <v>4328</v>
      </c>
      <c r="M40" s="1556"/>
      <c r="N40" s="1490"/>
      <c r="O40" s="1496"/>
      <c r="P40" s="1489"/>
      <c r="Q40" s="1489"/>
      <c r="R40" s="1489"/>
      <c r="S40" s="1489"/>
    </row>
    <row r="41" spans="1:23" ht="103.5" customHeight="1" x14ac:dyDescent="0.25">
      <c r="A41" s="1560"/>
      <c r="B41" s="1915" t="s">
        <v>4332</v>
      </c>
      <c r="C41" s="1915"/>
      <c r="D41" s="1915"/>
      <c r="E41" s="1915"/>
      <c r="F41" s="1915"/>
      <c r="G41" s="2006"/>
      <c r="H41" s="2006"/>
      <c r="I41" s="2006"/>
      <c r="J41" s="2006"/>
      <c r="K41" s="2006"/>
      <c r="L41" s="2007"/>
      <c r="M41" s="2008"/>
      <c r="N41" s="1490"/>
      <c r="O41" s="1496"/>
      <c r="P41" s="1489"/>
      <c r="Q41" s="1496"/>
      <c r="R41" s="1496"/>
      <c r="S41" s="1496"/>
      <c r="T41" s="1496"/>
    </row>
    <row r="42" spans="1:23" ht="28.5" customHeight="1" x14ac:dyDescent="0.25">
      <c r="A42" s="1542"/>
      <c r="B42" s="1540"/>
      <c r="C42" s="1540"/>
      <c r="D42" s="1540"/>
      <c r="E42" s="1540"/>
      <c r="F42" s="1540"/>
      <c r="G42" s="1906" t="s">
        <v>4331</v>
      </c>
      <c r="H42" s="1907"/>
      <c r="I42" s="1906" t="s">
        <v>4330</v>
      </c>
      <c r="J42" s="1920"/>
      <c r="K42" s="1907"/>
      <c r="L42" s="1906" t="s">
        <v>4329</v>
      </c>
      <c r="M42" s="1921"/>
      <c r="N42" s="1490"/>
      <c r="O42" s="1489"/>
      <c r="P42" s="1489"/>
      <c r="Q42" s="1496"/>
      <c r="R42" s="1496"/>
      <c r="S42" s="1489"/>
      <c r="T42" s="1496"/>
    </row>
    <row r="43" spans="1:23" ht="78" customHeight="1" x14ac:dyDescent="0.25">
      <c r="A43" s="1520" t="s">
        <v>4295</v>
      </c>
      <c r="B43" s="1912" t="s">
        <v>6985</v>
      </c>
      <c r="C43" s="1913"/>
      <c r="D43" s="1913"/>
      <c r="E43" s="1913"/>
      <c r="F43" s="1916"/>
      <c r="G43" s="1917" t="s">
        <v>4239</v>
      </c>
      <c r="H43" s="1918"/>
      <c r="I43" s="1917" t="s">
        <v>4236</v>
      </c>
      <c r="J43" s="1919"/>
      <c r="K43" s="1918"/>
      <c r="L43" s="1917" t="s">
        <v>4225</v>
      </c>
      <c r="M43" s="1922"/>
      <c r="N43" s="1490">
        <f>IF(OR(G43="",I43="",L43=""),0,IF(OR(G43="Other",I43="Other"),1,IF(OR(G43=I43,G43=L43,I43=L43),0,1)))</f>
        <v>1</v>
      </c>
      <c r="O43" s="1496"/>
      <c r="P43" s="1489"/>
      <c r="Q43" s="1489"/>
      <c r="R43" s="1489"/>
      <c r="S43" s="1489"/>
    </row>
    <row r="44" spans="1:23" ht="32.25" customHeight="1" x14ac:dyDescent="0.25">
      <c r="A44" s="1541"/>
      <c r="B44" s="1980" t="s">
        <v>6988</v>
      </c>
      <c r="C44" s="1904"/>
      <c r="D44" s="1904"/>
      <c r="E44" s="1904"/>
      <c r="F44" s="1905"/>
      <c r="G44" s="2009"/>
      <c r="H44" s="2010"/>
      <c r="I44" s="2010"/>
      <c r="J44" s="2010"/>
      <c r="K44" s="2010"/>
      <c r="L44" s="2010"/>
      <c r="M44" s="2011"/>
      <c r="N44" s="1490">
        <f>IF(B45="",1,IF(AND(B45="Required",LEN(G44)&gt;10),1,0))</f>
        <v>1</v>
      </c>
      <c r="O44" s="1496"/>
      <c r="P44" s="1489"/>
      <c r="Q44" s="1489"/>
      <c r="R44" s="1489"/>
      <c r="S44" s="1489"/>
    </row>
    <row r="45" spans="1:23" ht="70.5" customHeight="1" x14ac:dyDescent="0.25">
      <c r="A45" s="1541"/>
      <c r="B45" s="1828" t="str">
        <f>IF(COUNTIF(G43:L43,"Other"), "Required","")</f>
        <v/>
      </c>
      <c r="C45" s="1829"/>
      <c r="D45" s="1829"/>
      <c r="E45" s="1829"/>
      <c r="F45" s="1830"/>
      <c r="G45" s="2012"/>
      <c r="H45" s="2012"/>
      <c r="I45" s="2012"/>
      <c r="J45" s="2012"/>
      <c r="K45" s="2012"/>
      <c r="L45" s="2012"/>
      <c r="M45" s="2013"/>
      <c r="N45" s="1490"/>
      <c r="O45" s="1489"/>
      <c r="P45" s="1489"/>
      <c r="Q45" s="1489"/>
      <c r="R45" s="1489"/>
      <c r="S45" s="1489"/>
    </row>
    <row r="46" spans="1:23" ht="6" customHeight="1" x14ac:dyDescent="0.25">
      <c r="A46" s="1878"/>
      <c r="B46" s="1967"/>
      <c r="C46" s="1967"/>
      <c r="D46" s="1967"/>
      <c r="E46" s="1967"/>
      <c r="F46" s="1967"/>
      <c r="G46" s="2039"/>
      <c r="H46" s="2039"/>
      <c r="I46" s="2039"/>
      <c r="J46" s="2039"/>
      <c r="K46" s="2039"/>
      <c r="L46" s="2039"/>
      <c r="M46" s="2040"/>
      <c r="N46" s="1490"/>
      <c r="O46" s="1489"/>
      <c r="P46" s="1489"/>
      <c r="Q46" s="1489"/>
      <c r="R46" s="1489"/>
      <c r="S46" s="1489"/>
    </row>
    <row r="47" spans="1:23" ht="13.5" customHeight="1" x14ac:dyDescent="0.25">
      <c r="A47" s="1598"/>
      <c r="B47" s="2043" t="s">
        <v>4327</v>
      </c>
      <c r="C47" s="2043"/>
      <c r="D47" s="2043"/>
      <c r="E47" s="2043"/>
      <c r="F47" s="2043"/>
      <c r="G47" s="2043"/>
      <c r="H47" s="2043"/>
      <c r="I47" s="2043"/>
      <c r="J47" s="2043"/>
      <c r="K47" s="2043"/>
      <c r="L47" s="2043"/>
      <c r="M47" s="2044"/>
      <c r="N47" s="1490"/>
      <c r="O47" s="1489"/>
      <c r="P47" s="1489"/>
      <c r="Q47" s="1489"/>
      <c r="R47" s="1489"/>
      <c r="S47" s="1489"/>
    </row>
    <row r="48" spans="1:23" ht="189" customHeight="1" x14ac:dyDescent="0.25">
      <c r="A48" s="1519" t="s">
        <v>4326</v>
      </c>
      <c r="B48" s="1912" t="s">
        <v>7235</v>
      </c>
      <c r="C48" s="1913"/>
      <c r="D48" s="1913"/>
      <c r="E48" s="1913"/>
      <c r="F48" s="1913"/>
      <c r="G48" s="1913"/>
      <c r="H48" s="1913"/>
      <c r="I48" s="1913"/>
      <c r="J48" s="1913"/>
      <c r="K48" s="1913"/>
      <c r="L48" s="1913"/>
      <c r="M48" s="1914"/>
      <c r="N48" s="1490"/>
      <c r="O48" s="1489"/>
      <c r="P48" s="1489"/>
      <c r="Q48" s="1489"/>
      <c r="R48" s="1489"/>
      <c r="S48" s="1489"/>
    </row>
    <row r="49" spans="1:19" ht="48.75" customHeight="1" x14ac:dyDescent="0.25">
      <c r="A49" s="2075" t="s">
        <v>4325</v>
      </c>
      <c r="B49" s="2076"/>
      <c r="C49" s="2076"/>
      <c r="D49" s="2076"/>
      <c r="E49" s="2077"/>
      <c r="F49" s="2066" t="s">
        <v>6992</v>
      </c>
      <c r="G49" s="2014" t="s">
        <v>6993</v>
      </c>
      <c r="H49" s="2016" t="s">
        <v>6994</v>
      </c>
      <c r="I49" s="2066" t="s">
        <v>4324</v>
      </c>
      <c r="J49" s="2067"/>
      <c r="K49" s="2067"/>
      <c r="L49" s="2067"/>
      <c r="M49" s="2068"/>
      <c r="N49" s="1490"/>
      <c r="O49" s="1489"/>
      <c r="P49" s="1489"/>
      <c r="Q49" s="1489"/>
      <c r="R49" s="1489"/>
      <c r="S49" s="1489"/>
    </row>
    <row r="50" spans="1:19" ht="7.5" customHeight="1" x14ac:dyDescent="0.25">
      <c r="A50" s="2078"/>
      <c r="B50" s="2079"/>
      <c r="C50" s="2079"/>
      <c r="D50" s="2079"/>
      <c r="E50" s="2080"/>
      <c r="F50" s="2069"/>
      <c r="G50" s="2015"/>
      <c r="H50" s="2017"/>
      <c r="I50" s="2069"/>
      <c r="J50" s="2070"/>
      <c r="K50" s="2070"/>
      <c r="L50" s="2070"/>
      <c r="M50" s="2071"/>
      <c r="N50" s="1490"/>
      <c r="O50" s="1489"/>
      <c r="P50" s="1489"/>
      <c r="Q50" s="1489"/>
      <c r="R50" s="1489"/>
      <c r="S50" s="1489"/>
    </row>
    <row r="51" spans="1:19" ht="15.75" customHeight="1" thickBot="1" x14ac:dyDescent="0.3">
      <c r="A51" s="2078"/>
      <c r="B51" s="2079"/>
      <c r="C51" s="2079"/>
      <c r="D51" s="2079"/>
      <c r="E51" s="2080"/>
      <c r="F51" s="1547"/>
      <c r="G51" s="1548" t="str">
        <f>IF(G31=0,"[N/A]",IF(G31&gt;=5000,"[Required]","[Optional]"))</f>
        <v>[Required]</v>
      </c>
      <c r="H51" s="1548" t="s">
        <v>4323</v>
      </c>
      <c r="I51" s="2072"/>
      <c r="J51" s="2073"/>
      <c r="K51" s="2073"/>
      <c r="L51" s="2073"/>
      <c r="M51" s="2074"/>
      <c r="N51" s="1490"/>
      <c r="O51" s="1489"/>
      <c r="P51" s="1489"/>
      <c r="Q51" s="1489"/>
      <c r="R51" s="1489"/>
      <c r="S51" s="1489"/>
    </row>
    <row r="52" spans="1:19" x14ac:dyDescent="0.25">
      <c r="A52" s="2057" t="s">
        <v>4322</v>
      </c>
      <c r="B52" s="2058"/>
      <c r="C52" s="2058"/>
      <c r="D52" s="2059"/>
      <c r="E52" s="1569" t="s">
        <v>4239</v>
      </c>
      <c r="F52" s="1621">
        <f>IF(Cover!H13=0,"",VLOOKUP($O$1,'FY23 Data for FY24 Plan'!$A$3:$BC$929,12,FALSE))</f>
        <v>1341762.2</v>
      </c>
      <c r="G52" s="1622">
        <v>686800</v>
      </c>
      <c r="H52" s="1622"/>
      <c r="I52" s="2048" t="s">
        <v>4321</v>
      </c>
      <c r="J52" s="2048"/>
      <c r="K52" s="2048"/>
      <c r="L52" s="2049"/>
      <c r="M52" s="2050"/>
      <c r="N52" s="1490"/>
      <c r="O52" s="1489"/>
      <c r="P52" s="1489"/>
      <c r="Q52" s="1489"/>
      <c r="R52" s="1489"/>
      <c r="S52" s="1489"/>
    </row>
    <row r="53" spans="1:19" x14ac:dyDescent="0.25">
      <c r="A53" s="2060"/>
      <c r="B53" s="2061"/>
      <c r="C53" s="2061"/>
      <c r="D53" s="2062"/>
      <c r="E53" s="1609" t="s">
        <v>6986</v>
      </c>
      <c r="F53" s="1621">
        <f>IF(Cover!H13=0,"",VLOOKUP($O$1,'FY23 Data for FY24 Plan'!$A$3:$BC$929,13,FALSE))</f>
        <v>332813.88</v>
      </c>
      <c r="G53" s="1622">
        <v>12619</v>
      </c>
      <c r="H53" s="1622"/>
      <c r="I53" s="2051"/>
      <c r="J53" s="2051"/>
      <c r="K53" s="2051"/>
      <c r="L53" s="2052"/>
      <c r="M53" s="2053"/>
      <c r="N53" s="1490"/>
      <c r="O53" s="1489"/>
      <c r="P53" s="1489"/>
      <c r="Q53" s="1489"/>
      <c r="R53" s="1489"/>
      <c r="S53" s="1489"/>
    </row>
    <row r="54" spans="1:19" x14ac:dyDescent="0.25">
      <c r="A54" s="2060"/>
      <c r="B54" s="2061"/>
      <c r="C54" s="2061"/>
      <c r="D54" s="2062"/>
      <c r="E54" s="1569" t="s">
        <v>4237</v>
      </c>
      <c r="F54" s="1621">
        <f>IF(Cover!H13=0,"",VLOOKUP($O$1,'FY23 Data for FY24 Plan'!$A$3:$BC$929,14,FALSE))</f>
        <v>145486.31</v>
      </c>
      <c r="G54" s="1622">
        <v>0</v>
      </c>
      <c r="H54" s="1622"/>
      <c r="I54" s="2051"/>
      <c r="J54" s="2051"/>
      <c r="K54" s="2051"/>
      <c r="L54" s="2052"/>
      <c r="M54" s="2053"/>
      <c r="N54" s="1490"/>
      <c r="O54" s="1489"/>
      <c r="P54" s="1489"/>
      <c r="Q54" s="1489"/>
      <c r="R54" s="1489"/>
      <c r="S54" s="1489"/>
    </row>
    <row r="55" spans="1:19" ht="15" customHeight="1" x14ac:dyDescent="0.25">
      <c r="A55" s="2060"/>
      <c r="B55" s="2061"/>
      <c r="C55" s="2061"/>
      <c r="D55" s="2062"/>
      <c r="E55" s="1569" t="s">
        <v>4236</v>
      </c>
      <c r="F55" s="1621">
        <f>IF(Cover!H13=0,"",VLOOKUP($O$1,'FY23 Data for FY24 Plan'!$A$3:$BC$929,15,FALSE))</f>
        <v>57651.45</v>
      </c>
      <c r="G55" s="1622">
        <v>0</v>
      </c>
      <c r="H55" s="1622"/>
      <c r="I55" s="2051"/>
      <c r="J55" s="2051"/>
      <c r="K55" s="2051"/>
      <c r="L55" s="2052"/>
      <c r="M55" s="2053"/>
      <c r="N55" s="1490"/>
      <c r="O55" s="1489"/>
      <c r="P55" s="1489"/>
      <c r="Q55" s="1489"/>
      <c r="R55" s="1489"/>
      <c r="S55" s="1489"/>
    </row>
    <row r="56" spans="1:19" x14ac:dyDescent="0.25">
      <c r="A56" s="2060"/>
      <c r="B56" s="2061"/>
      <c r="C56" s="2061"/>
      <c r="D56" s="2062"/>
      <c r="E56" s="1569" t="s">
        <v>4235</v>
      </c>
      <c r="F56" s="1621">
        <f>IF(Cover!H13=0,"",VLOOKUP($O$1,'FY23 Data for FY24 Plan'!$A$3:$BC$929,16,FALSE))</f>
        <v>45056.91</v>
      </c>
      <c r="G56" s="1622">
        <v>0</v>
      </c>
      <c r="H56" s="1622"/>
      <c r="I56" s="2051"/>
      <c r="J56" s="2051"/>
      <c r="K56" s="2051"/>
      <c r="L56" s="2052"/>
      <c r="M56" s="2053"/>
      <c r="N56" s="1490"/>
      <c r="O56" s="1489"/>
      <c r="P56" s="1489"/>
      <c r="Q56" s="1489"/>
      <c r="R56" s="1489"/>
      <c r="S56" s="1489"/>
    </row>
    <row r="57" spans="1:19" x14ac:dyDescent="0.25">
      <c r="A57" s="2060"/>
      <c r="B57" s="2061"/>
      <c r="C57" s="2061"/>
      <c r="D57" s="2062"/>
      <c r="E57" s="1569" t="s">
        <v>4234</v>
      </c>
      <c r="F57" s="1621">
        <f>IF(Cover!H13=0,"",VLOOKUP($O$1,'FY23 Data for FY24 Plan'!$A$3:$BC$929,17,FALSE))</f>
        <v>103381.75</v>
      </c>
      <c r="G57" s="1622">
        <v>0</v>
      </c>
      <c r="H57" s="1622"/>
      <c r="I57" s="2051"/>
      <c r="J57" s="2051"/>
      <c r="K57" s="2051"/>
      <c r="L57" s="2052"/>
      <c r="M57" s="2053"/>
      <c r="N57" s="1490"/>
      <c r="O57" s="1489"/>
      <c r="P57" s="1489"/>
      <c r="Q57" s="1489"/>
      <c r="R57" s="1489"/>
      <c r="S57" s="1489"/>
    </row>
    <row r="58" spans="1:19" x14ac:dyDescent="0.25">
      <c r="A58" s="2060"/>
      <c r="B58" s="2061"/>
      <c r="C58" s="2061"/>
      <c r="D58" s="2062"/>
      <c r="E58" s="1569" t="s">
        <v>4233</v>
      </c>
      <c r="F58" s="1621">
        <f>IF(Cover!H13=0,"",VLOOKUP($O$1,'FY23 Data for FY24 Plan'!$A$3:$BC$929,18,FALSE))</f>
        <v>31721.48</v>
      </c>
      <c r="G58" s="1622">
        <v>0</v>
      </c>
      <c r="H58" s="1622"/>
      <c r="I58" s="2051"/>
      <c r="J58" s="2051"/>
      <c r="K58" s="2051"/>
      <c r="L58" s="2052"/>
      <c r="M58" s="2053"/>
      <c r="N58" s="1490"/>
      <c r="O58" s="1489"/>
      <c r="P58" s="1489"/>
      <c r="Q58" s="1489"/>
      <c r="R58" s="1489"/>
      <c r="S58" s="1489"/>
    </row>
    <row r="59" spans="1:19" x14ac:dyDescent="0.25">
      <c r="A59" s="2060"/>
      <c r="B59" s="2061"/>
      <c r="C59" s="2061"/>
      <c r="D59" s="2062"/>
      <c r="E59" s="1569" t="s">
        <v>4232</v>
      </c>
      <c r="F59" s="1621">
        <f>IF(Cover!H13=0,"",VLOOKUP($O$1,'FY23 Data for FY24 Plan'!$A$3:$BC$929,19,FALSE))</f>
        <v>53207.56</v>
      </c>
      <c r="G59" s="1622">
        <v>0</v>
      </c>
      <c r="H59" s="1622"/>
      <c r="I59" s="2051"/>
      <c r="J59" s="2051"/>
      <c r="K59" s="2051"/>
      <c r="L59" s="2052"/>
      <c r="M59" s="2053"/>
      <c r="N59" s="1490"/>
      <c r="O59" s="1489"/>
      <c r="P59" s="1489"/>
      <c r="Q59" s="1489"/>
      <c r="R59" s="1489"/>
      <c r="S59" s="1489"/>
    </row>
    <row r="60" spans="1:19" x14ac:dyDescent="0.25">
      <c r="A60" s="2060"/>
      <c r="B60" s="2061"/>
      <c r="C60" s="2061"/>
      <c r="D60" s="2062"/>
      <c r="E60" s="1569" t="s">
        <v>4231</v>
      </c>
      <c r="F60" s="1621">
        <f>IF(Cover!H13=0,"",VLOOKUP($O$1,'FY23 Data for FY24 Plan'!$A$3:$BC$929,20,FALSE))</f>
        <v>63445.74</v>
      </c>
      <c r="G60" s="1622">
        <v>0</v>
      </c>
      <c r="H60" s="1622"/>
      <c r="I60" s="2051"/>
      <c r="J60" s="2051"/>
      <c r="K60" s="2051"/>
      <c r="L60" s="2052"/>
      <c r="M60" s="2053"/>
      <c r="N60" s="1490"/>
      <c r="O60" s="1489"/>
      <c r="P60" s="1489"/>
      <c r="Q60" s="1489"/>
      <c r="R60" s="1489"/>
      <c r="S60" s="1489"/>
    </row>
    <row r="61" spans="1:19" x14ac:dyDescent="0.25">
      <c r="A61" s="2060"/>
      <c r="B61" s="2061"/>
      <c r="C61" s="2061"/>
      <c r="D61" s="2062"/>
      <c r="E61" s="1569" t="s">
        <v>4230</v>
      </c>
      <c r="F61" s="1621">
        <f>IF(Cover!H13=0,"",VLOOKUP($O$1,'FY23 Data for FY24 Plan'!$A$3:$BC$929,21,FALSE))</f>
        <v>38122.94</v>
      </c>
      <c r="G61" s="1622">
        <v>0</v>
      </c>
      <c r="H61" s="1622"/>
      <c r="I61" s="2051"/>
      <c r="J61" s="2051"/>
      <c r="K61" s="2051"/>
      <c r="L61" s="2052"/>
      <c r="M61" s="2053"/>
      <c r="N61" s="1490"/>
      <c r="O61" s="1489"/>
      <c r="P61" s="1489"/>
      <c r="Q61" s="1489"/>
      <c r="R61" s="1489"/>
      <c r="S61" s="1489"/>
    </row>
    <row r="62" spans="1:19" x14ac:dyDescent="0.25">
      <c r="A62" s="2060"/>
      <c r="B62" s="2061"/>
      <c r="C62" s="2061"/>
      <c r="D62" s="2062"/>
      <c r="E62" s="1569" t="s">
        <v>4229</v>
      </c>
      <c r="F62" s="1621">
        <f>IF(Cover!H13=0,"",VLOOKUP($O$1,'FY23 Data for FY24 Plan'!$A$3:$BC$929,22,FALSE))</f>
        <v>94743.08</v>
      </c>
      <c r="G62" s="1622">
        <v>0</v>
      </c>
      <c r="H62" s="1622"/>
      <c r="I62" s="2051"/>
      <c r="J62" s="2051"/>
      <c r="K62" s="2051"/>
      <c r="L62" s="2052"/>
      <c r="M62" s="2053"/>
      <c r="N62" s="1490"/>
      <c r="O62" s="1489"/>
      <c r="P62" s="1489"/>
      <c r="Q62" s="1489"/>
      <c r="R62" s="1489"/>
      <c r="S62" s="1489"/>
    </row>
    <row r="63" spans="1:19" x14ac:dyDescent="0.25">
      <c r="A63" s="2060"/>
      <c r="B63" s="2061"/>
      <c r="C63" s="2061"/>
      <c r="D63" s="2062"/>
      <c r="E63" s="1569" t="s">
        <v>4228</v>
      </c>
      <c r="F63" s="1621">
        <f>IF(Cover!H13=0,"",VLOOKUP($O$1,'FY23 Data for FY24 Plan'!$A$3:$BC$929,23,FALSE))</f>
        <v>81716.259999999995</v>
      </c>
      <c r="G63" s="1622">
        <v>0</v>
      </c>
      <c r="H63" s="1622"/>
      <c r="I63" s="2051"/>
      <c r="J63" s="2051"/>
      <c r="K63" s="2051"/>
      <c r="L63" s="2052"/>
      <c r="M63" s="2053"/>
      <c r="N63" s="1490"/>
      <c r="O63" s="1489"/>
      <c r="P63" s="1489"/>
      <c r="Q63" s="1489"/>
      <c r="R63" s="1489"/>
      <c r="S63" s="1489"/>
    </row>
    <row r="64" spans="1:19" ht="15.75" thickBot="1" x14ac:dyDescent="0.3">
      <c r="A64" s="2063"/>
      <c r="B64" s="2064"/>
      <c r="C64" s="2064"/>
      <c r="D64" s="2065"/>
      <c r="E64" s="1570" t="s">
        <v>4227</v>
      </c>
      <c r="F64" s="1621">
        <f>IF(Cover!H13=0,"",VLOOKUP($O$1,'FY23 Data for FY24 Plan'!$A$3:$BC$929,24,FALSE))</f>
        <v>63845.7</v>
      </c>
      <c r="G64" s="1622">
        <v>0</v>
      </c>
      <c r="H64" s="1622"/>
      <c r="I64" s="2051"/>
      <c r="J64" s="2051"/>
      <c r="K64" s="2051"/>
      <c r="L64" s="2052"/>
      <c r="M64" s="2053"/>
      <c r="N64" s="1490"/>
      <c r="O64" s="1489"/>
      <c r="P64" s="1489"/>
      <c r="Q64" s="1489"/>
      <c r="R64" s="1489"/>
      <c r="S64" s="1489"/>
    </row>
    <row r="65" spans="1:30" ht="16.5" thickTop="1" thickBot="1" x14ac:dyDescent="0.3">
      <c r="A65" s="1541"/>
      <c r="B65" s="1614"/>
      <c r="C65" s="1614"/>
      <c r="D65" s="1614"/>
      <c r="E65" s="1565" t="s">
        <v>4316</v>
      </c>
      <c r="F65" s="1515">
        <f>IF(Cover!H13=0,"",VLOOKUP($O$1,'FY23 Data for FY24 Plan'!$A$3:$BC$929,25,FALSE))</f>
        <v>2452955.2600000002</v>
      </c>
      <c r="G65" s="1514">
        <f>IF(AND(ISBLANK(G52),ISBLANK(G53),ISBLANK(G54),ISBLANK(G55),ISBLANK(G56),ISBLANK(G57),ISBLANK(G58),ISBLANK(G59),ISBLANK(G60),ISBLANK(G61),ISBLANK(G62),ISBLANK(G63),ISBLANK(G64)),"",SUM(G52:G64))</f>
        <v>699419</v>
      </c>
      <c r="H65" s="1514" t="str">
        <f>IF(AND(ISBLANK(H52),ISBLANK(H53),ISBLANK(H54),ISBLANK(H55),ISBLANK(H56),ISBLANK(H57),ISBLANK(H58),ISBLANK(H59),ISBLANK(H60),ISBLANK(H61),ISBLANK(H62),ISBLANK(H63),ISBLANK(H64)),"",SUM(H52:H64))</f>
        <v/>
      </c>
      <c r="I65" s="2054"/>
      <c r="J65" s="2054"/>
      <c r="K65" s="2054"/>
      <c r="L65" s="2055"/>
      <c r="M65" s="2056"/>
      <c r="N65" s="1490"/>
      <c r="O65" s="1489"/>
      <c r="P65" s="1489"/>
      <c r="Q65" s="1489"/>
      <c r="R65" s="1489"/>
      <c r="S65" s="1489"/>
    </row>
    <row r="66" spans="1:30" x14ac:dyDescent="0.25">
      <c r="A66" s="2092" t="s">
        <v>4320</v>
      </c>
      <c r="B66" s="2093"/>
      <c r="C66" s="2093"/>
      <c r="D66" s="2094"/>
      <c r="E66" s="1567" t="s">
        <v>4226</v>
      </c>
      <c r="F66" s="1517">
        <f>IF(Cover!H13=0,"",VLOOKUP($O$1,'FY23 Data for FY24 Plan'!$A$3:$BC$929,26,FALSE))</f>
        <v>37809</v>
      </c>
      <c r="G66" s="1516">
        <v>0</v>
      </c>
      <c r="H66" s="1516"/>
      <c r="I66" s="2051" t="s">
        <v>6995</v>
      </c>
      <c r="J66" s="2051"/>
      <c r="K66" s="2051"/>
      <c r="L66" s="2052"/>
      <c r="M66" s="2053"/>
      <c r="N66" s="1490"/>
      <c r="O66" s="1489"/>
      <c r="P66" s="1489"/>
      <c r="Q66" s="1489"/>
      <c r="R66" s="1489"/>
      <c r="S66" s="1489"/>
    </row>
    <row r="67" spans="1:30" x14ac:dyDescent="0.25">
      <c r="A67" s="2095"/>
      <c r="B67" s="2096"/>
      <c r="C67" s="2096"/>
      <c r="D67" s="2097"/>
      <c r="E67" s="1568" t="s">
        <v>4225</v>
      </c>
      <c r="F67" s="1517">
        <f>IF(Cover!H13=0,"",VLOOKUP($O$1,'FY23 Data for FY24 Plan'!$A$3:$BC$929,27,FALSE))</f>
        <v>52678.75</v>
      </c>
      <c r="G67" s="1516">
        <v>12142</v>
      </c>
      <c r="H67" s="1516"/>
      <c r="I67" s="2051"/>
      <c r="J67" s="2051"/>
      <c r="K67" s="2051"/>
      <c r="L67" s="2052"/>
      <c r="M67" s="2053"/>
      <c r="N67" s="1490"/>
      <c r="O67" s="1489"/>
      <c r="P67" s="1489"/>
      <c r="Q67" s="1489"/>
      <c r="R67" s="1489"/>
      <c r="S67" s="1489"/>
    </row>
    <row r="68" spans="1:30" x14ac:dyDescent="0.25">
      <c r="A68" s="2095"/>
      <c r="B68" s="2096"/>
      <c r="C68" s="2096"/>
      <c r="D68" s="2097"/>
      <c r="E68" s="1568" t="s">
        <v>4224</v>
      </c>
      <c r="F68" s="1517">
        <f>IF(Cover!H13=0,"",VLOOKUP($O$1,'FY23 Data for FY24 Plan'!$A$3:$BC$929,28,FALSE))</f>
        <v>113364.66999999998</v>
      </c>
      <c r="G68" s="1516">
        <v>0</v>
      </c>
      <c r="H68" s="1516"/>
      <c r="I68" s="2051"/>
      <c r="J68" s="2051"/>
      <c r="K68" s="2051"/>
      <c r="L68" s="2052"/>
      <c r="M68" s="2053"/>
      <c r="N68" s="1490"/>
      <c r="O68" s="1489"/>
      <c r="P68" s="1489"/>
      <c r="Q68" s="1489"/>
      <c r="R68" s="1489"/>
      <c r="S68" s="1489"/>
    </row>
    <row r="69" spans="1:30" x14ac:dyDescent="0.25">
      <c r="A69" s="2095"/>
      <c r="B69" s="2096"/>
      <c r="C69" s="2096"/>
      <c r="D69" s="2097"/>
      <c r="E69" s="1568" t="s">
        <v>4223</v>
      </c>
      <c r="F69" s="1517">
        <f>IF(Cover!H13=0,"",VLOOKUP($O$1,'FY23 Data for FY24 Plan'!$A$3:$BC$929,29,FALSE))</f>
        <v>12221.47</v>
      </c>
      <c r="G69" s="1516">
        <v>0</v>
      </c>
      <c r="H69" s="1516"/>
      <c r="I69" s="2051"/>
      <c r="J69" s="2051"/>
      <c r="K69" s="2051"/>
      <c r="L69" s="2052"/>
      <c r="M69" s="2053"/>
      <c r="N69" s="1490"/>
      <c r="O69" s="1489"/>
      <c r="P69" s="1489"/>
      <c r="Q69" s="1489"/>
      <c r="R69" s="1489"/>
      <c r="S69" s="1489"/>
    </row>
    <row r="70" spans="1:30" x14ac:dyDescent="0.25">
      <c r="A70" s="2095"/>
      <c r="B70" s="2096"/>
      <c r="C70" s="2096"/>
      <c r="D70" s="2097"/>
      <c r="E70" s="1610" t="s">
        <v>7019</v>
      </c>
      <c r="F70" s="1517">
        <f>IF(Cover!H13=0,"",VLOOKUP($O$1,'FY23 Data for FY24 Plan'!$A$3:$BC$929,30,FALSE))</f>
        <v>240636.53</v>
      </c>
      <c r="G70" s="1516">
        <v>0</v>
      </c>
      <c r="H70" s="1516"/>
      <c r="I70" s="2051"/>
      <c r="J70" s="2051"/>
      <c r="K70" s="2051"/>
      <c r="L70" s="2052"/>
      <c r="M70" s="2053"/>
      <c r="N70" s="1490"/>
      <c r="O70" s="1489"/>
      <c r="P70" s="1489"/>
      <c r="Q70" s="1489"/>
      <c r="R70" s="1489"/>
      <c r="S70" s="1489"/>
    </row>
    <row r="71" spans="1:30" x14ac:dyDescent="0.25">
      <c r="A71" s="2095"/>
      <c r="B71" s="2096"/>
      <c r="C71" s="2096"/>
      <c r="D71" s="2097"/>
      <c r="E71" s="1568" t="s">
        <v>4221</v>
      </c>
      <c r="F71" s="1517">
        <f>IF(Cover!H13=0,"",VLOOKUP($O$1,'FY23 Data for FY24 Plan'!$A$3:$BC$929,31,FALSE))</f>
        <v>157663.49</v>
      </c>
      <c r="G71" s="1516">
        <v>0</v>
      </c>
      <c r="H71" s="1516"/>
      <c r="I71" s="2051"/>
      <c r="J71" s="2051"/>
      <c r="K71" s="2051"/>
      <c r="L71" s="2052"/>
      <c r="M71" s="2053"/>
      <c r="N71" s="1490"/>
      <c r="O71" s="1489"/>
      <c r="P71" s="1489"/>
      <c r="Q71" s="1489"/>
      <c r="R71" s="1489"/>
      <c r="S71" s="1489"/>
    </row>
    <row r="72" spans="1:30" x14ac:dyDescent="0.25">
      <c r="A72" s="2095"/>
      <c r="B72" s="2096"/>
      <c r="C72" s="2096"/>
      <c r="D72" s="2097"/>
      <c r="E72" s="1568" t="s">
        <v>4220</v>
      </c>
      <c r="F72" s="1517">
        <f>IF(Cover!H13=0,"",VLOOKUP($O$1,'FY23 Data for FY24 Plan'!$A$3:$BC$929,32,FALSE))</f>
        <v>517094.60999999993</v>
      </c>
      <c r="G72" s="1516">
        <v>0</v>
      </c>
      <c r="H72" s="1516"/>
      <c r="I72" s="2051"/>
      <c r="J72" s="2051"/>
      <c r="K72" s="2051"/>
      <c r="L72" s="2052"/>
      <c r="M72" s="2053"/>
      <c r="N72" s="1490"/>
      <c r="O72" s="1489"/>
      <c r="P72" s="1489"/>
      <c r="Q72" s="1489"/>
      <c r="R72" s="1489"/>
      <c r="S72" s="1489"/>
    </row>
    <row r="73" spans="1:30" x14ac:dyDescent="0.25">
      <c r="A73" s="2095"/>
      <c r="B73" s="2096"/>
      <c r="C73" s="2096"/>
      <c r="D73" s="2097"/>
      <c r="E73" s="1568" t="s">
        <v>4219</v>
      </c>
      <c r="F73" s="1517">
        <f>IF(Cover!H13=0,"",VLOOKUP($O$1,'FY23 Data for FY24 Plan'!$A$3:$BC$929,33,FALSE))</f>
        <v>372122.69</v>
      </c>
      <c r="G73" s="1516">
        <v>0</v>
      </c>
      <c r="H73" s="1516"/>
      <c r="I73" s="2051"/>
      <c r="J73" s="2051"/>
      <c r="K73" s="2051"/>
      <c r="L73" s="2052"/>
      <c r="M73" s="2053"/>
      <c r="N73" s="1490"/>
      <c r="O73" s="1489"/>
      <c r="P73" s="1489"/>
      <c r="Q73" s="1489"/>
      <c r="R73" s="1489"/>
      <c r="S73" s="1489"/>
    </row>
    <row r="74" spans="1:30" ht="15.75" thickBot="1" x14ac:dyDescent="0.3">
      <c r="A74" s="2098"/>
      <c r="B74" s="2099"/>
      <c r="C74" s="2099"/>
      <c r="D74" s="2100"/>
      <c r="E74" s="1568" t="s">
        <v>405</v>
      </c>
      <c r="F74" s="1517">
        <f>IF(Cover!H13=0,"",VLOOKUP($O$1,'FY23 Data for FY24 Plan'!$A$3:$BC$929,34,FALSE))</f>
        <v>1053627.04293</v>
      </c>
      <c r="G74" s="1516">
        <v>0</v>
      </c>
      <c r="H74" s="1516"/>
      <c r="I74" s="2051"/>
      <c r="J74" s="2051"/>
      <c r="K74" s="2051"/>
      <c r="L74" s="2052"/>
      <c r="M74" s="2053"/>
      <c r="N74" s="1490"/>
      <c r="O74" s="1489"/>
      <c r="P74" s="1489"/>
      <c r="Q74" s="1489"/>
      <c r="R74" s="1489"/>
      <c r="S74" s="1489"/>
    </row>
    <row r="75" spans="1:30" ht="16.5" thickTop="1" thickBot="1" x14ac:dyDescent="0.3">
      <c r="A75" s="1541"/>
      <c r="B75" s="1614"/>
      <c r="C75" s="1614"/>
      <c r="D75" s="1614"/>
      <c r="E75" s="1566" t="s">
        <v>4319</v>
      </c>
      <c r="F75" s="1515">
        <f>IF(Cover!H13=0,"",VLOOKUP($O$1,'FY23 Data for FY24 Plan'!$A$3:$BC$929,38,FALSE))</f>
        <v>2544559.9529299997</v>
      </c>
      <c r="G75" s="1514">
        <f>IF(AND(ISBLANK(G66),ISBLANK(G67),ISBLANK(G68),ISBLANK(G69),ISBLANK(G70),ISBLANK(G71),ISBLANK(G72),ISBLANK(G73),ISBLANK(G74)),"",SUM(G66:G74))</f>
        <v>12142</v>
      </c>
      <c r="H75" s="1514" t="str">
        <f>IF(AND(ISBLANK(H66),ISBLANK(H67),ISBLANK(H68),ISBLANK(H69),ISBLANK(H70),ISBLANK(H71),ISBLANK(H72),ISBLANK(H73),ISBLANK(H74)),"",SUM(H66:H74))</f>
        <v/>
      </c>
      <c r="I75" s="2054"/>
      <c r="J75" s="2054"/>
      <c r="K75" s="2054"/>
      <c r="L75" s="2055"/>
      <c r="M75" s="2056"/>
      <c r="N75" s="1490"/>
      <c r="O75" s="1489"/>
      <c r="P75" s="1489"/>
      <c r="Q75" s="1489"/>
      <c r="R75" s="1489"/>
      <c r="S75" s="1489"/>
      <c r="AD75" s="1518"/>
    </row>
    <row r="76" spans="1:30" x14ac:dyDescent="0.25">
      <c r="A76" s="2101" t="s">
        <v>4318</v>
      </c>
      <c r="B76" s="2102"/>
      <c r="C76" s="2102"/>
      <c r="D76" s="2103"/>
      <c r="E76" s="1611" t="s">
        <v>4306</v>
      </c>
      <c r="F76" s="1517">
        <f>IF(Cover!H13=0,"",VLOOKUP($O$1,'FY23 Data for FY24 Plan'!$A$3:$BC$929,39,FALSE))</f>
        <v>67736.58</v>
      </c>
      <c r="G76" s="1516">
        <v>58240</v>
      </c>
      <c r="H76" s="1516"/>
      <c r="I76" s="2082" t="s">
        <v>4317</v>
      </c>
      <c r="J76" s="2083"/>
      <c r="K76" s="2083"/>
      <c r="L76" s="2083"/>
      <c r="M76" s="2084"/>
      <c r="N76" s="1490"/>
      <c r="O76" s="1489"/>
      <c r="P76" s="1489"/>
      <c r="Q76" s="1489"/>
      <c r="R76" s="1489"/>
      <c r="S76" s="1489"/>
      <c r="AD76" s="1509"/>
    </row>
    <row r="77" spans="1:30" x14ac:dyDescent="0.25">
      <c r="A77" s="2104"/>
      <c r="B77" s="2105"/>
      <c r="C77" s="2105"/>
      <c r="D77" s="2106"/>
      <c r="E77" s="1611" t="s">
        <v>4304</v>
      </c>
      <c r="F77" s="1517">
        <f>IF(Cover!H13=0,"",VLOOKUP($O$1,'FY23 Data for FY24 Plan'!$A$3:$BC$929,40,FALSE))</f>
        <v>67736.58</v>
      </c>
      <c r="G77" s="1516">
        <v>63411</v>
      </c>
      <c r="H77" s="1516"/>
      <c r="I77" s="2085"/>
      <c r="J77" s="2086"/>
      <c r="K77" s="2086"/>
      <c r="L77" s="2086"/>
      <c r="M77" s="2087"/>
      <c r="N77" s="1490"/>
      <c r="O77" s="1489"/>
      <c r="P77" s="1489"/>
      <c r="Q77" s="1489"/>
      <c r="R77" s="1489"/>
      <c r="S77" s="1489"/>
    </row>
    <row r="78" spans="1:30" x14ac:dyDescent="0.25">
      <c r="A78" s="2104"/>
      <c r="B78" s="2105"/>
      <c r="C78" s="2105"/>
      <c r="D78" s="2106"/>
      <c r="E78" s="1611" t="s">
        <v>4305</v>
      </c>
      <c r="F78" s="1517">
        <f>IF(Cover!H13=0,"",VLOOKUP($O$1,'FY23 Data for FY24 Plan'!$A$3:$BC$929,41,FALSE))</f>
        <v>71192.53</v>
      </c>
      <c r="G78" s="1516">
        <v>0</v>
      </c>
      <c r="H78" s="1516"/>
      <c r="I78" s="2085"/>
      <c r="J78" s="2086"/>
      <c r="K78" s="2086"/>
      <c r="L78" s="2086"/>
      <c r="M78" s="2087"/>
      <c r="N78" s="1490"/>
      <c r="O78" s="1489"/>
      <c r="P78" s="1489"/>
      <c r="Q78" s="1489"/>
      <c r="R78" s="1489"/>
      <c r="S78" s="1489"/>
    </row>
    <row r="79" spans="1:30" x14ac:dyDescent="0.25">
      <c r="A79" s="2104"/>
      <c r="B79" s="2105"/>
      <c r="C79" s="2105"/>
      <c r="D79" s="2106"/>
      <c r="E79" s="1611" t="s">
        <v>4303</v>
      </c>
      <c r="F79" s="1517">
        <f>IF(Cover!H13=0,"",VLOOKUP($O$1,'FY23 Data for FY24 Plan'!$A$3:$BC$929,42,FALSE))</f>
        <v>71192.53</v>
      </c>
      <c r="G79" s="1516">
        <v>0</v>
      </c>
      <c r="H79" s="1516"/>
      <c r="I79" s="2085"/>
      <c r="J79" s="2086"/>
      <c r="K79" s="2086"/>
      <c r="L79" s="2086"/>
      <c r="M79" s="2087"/>
      <c r="N79" s="1490"/>
      <c r="O79" s="1489"/>
      <c r="P79" s="1489"/>
      <c r="Q79" s="1489"/>
      <c r="R79" s="1489"/>
      <c r="S79" s="1489"/>
    </row>
    <row r="80" spans="1:30" x14ac:dyDescent="0.25">
      <c r="A80" s="2104"/>
      <c r="B80" s="2105"/>
      <c r="C80" s="2105"/>
      <c r="D80" s="2106"/>
      <c r="E80" s="1611" t="s">
        <v>4210</v>
      </c>
      <c r="F80" s="1517">
        <f>IF(Cover!H13=0,"",VLOOKUP($O$1,'FY23 Data for FY24 Plan'!$A$3:$BC$929,43,FALSE))</f>
        <v>4147.13</v>
      </c>
      <c r="G80" s="1516">
        <v>0</v>
      </c>
      <c r="H80" s="1516"/>
      <c r="I80" s="2085"/>
      <c r="J80" s="2086"/>
      <c r="K80" s="2086"/>
      <c r="L80" s="2086"/>
      <c r="M80" s="2087"/>
      <c r="N80" s="1490"/>
      <c r="O80" s="1489"/>
      <c r="P80" s="1489"/>
      <c r="Q80" s="1489"/>
      <c r="R80" s="1489"/>
      <c r="S80" s="1489"/>
    </row>
    <row r="81" spans="1:21" x14ac:dyDescent="0.25">
      <c r="A81" s="2104"/>
      <c r="B81" s="2105"/>
      <c r="C81" s="2105"/>
      <c r="D81" s="2106"/>
      <c r="E81" s="1611" t="s">
        <v>4209</v>
      </c>
      <c r="F81" s="1517">
        <f>IF(Cover!H13=0,"",VLOOKUP($O$1,'FY23 Data for FY24 Plan'!$A$3:$BC$929,44,FALSE))</f>
        <v>4147.13</v>
      </c>
      <c r="G81" s="1516">
        <v>0</v>
      </c>
      <c r="H81" s="1516"/>
      <c r="I81" s="2085"/>
      <c r="J81" s="2086"/>
      <c r="K81" s="2086"/>
      <c r="L81" s="2086"/>
      <c r="M81" s="2087"/>
      <c r="N81" s="1490"/>
      <c r="O81" s="1489"/>
      <c r="P81" s="1489"/>
      <c r="Q81" s="1489"/>
      <c r="R81" s="1489"/>
      <c r="S81" s="1489"/>
    </row>
    <row r="82" spans="1:21" x14ac:dyDescent="0.25">
      <c r="A82" s="2104"/>
      <c r="B82" s="2105"/>
      <c r="C82" s="2105"/>
      <c r="D82" s="2106"/>
      <c r="E82" s="1611" t="s">
        <v>4208</v>
      </c>
      <c r="F82" s="1517">
        <f>IF(Cover!H13=0,"",VLOOKUP($O$1,'FY23 Data for FY24 Plan'!$A$3:$BC$929,45,FALSE))</f>
        <v>4147.13</v>
      </c>
      <c r="G82" s="1516">
        <v>0</v>
      </c>
      <c r="H82" s="1516"/>
      <c r="I82" s="2085"/>
      <c r="J82" s="2086"/>
      <c r="K82" s="2086"/>
      <c r="L82" s="2086"/>
      <c r="M82" s="2087"/>
      <c r="N82" s="1490"/>
      <c r="O82" s="1489"/>
      <c r="P82" s="1489"/>
      <c r="Q82" s="1489"/>
      <c r="R82" s="1489"/>
      <c r="S82" s="1489"/>
      <c r="T82" s="1489"/>
      <c r="U82" s="1489"/>
    </row>
    <row r="83" spans="1:21" x14ac:dyDescent="0.25">
      <c r="A83" s="2104"/>
      <c r="B83" s="2105"/>
      <c r="C83" s="2105"/>
      <c r="D83" s="2106"/>
      <c r="E83" s="1611" t="s">
        <v>4207</v>
      </c>
      <c r="F83" s="1517">
        <f>IF(Cover!H13=0,"",VLOOKUP($O$1,'FY23 Data for FY24 Plan'!$A$3:$BC$929,46,FALSE))</f>
        <v>4147.13</v>
      </c>
      <c r="G83" s="1516">
        <v>0</v>
      </c>
      <c r="H83" s="1516"/>
      <c r="I83" s="2085"/>
      <c r="J83" s="2086"/>
      <c r="K83" s="2086"/>
      <c r="L83" s="2086"/>
      <c r="M83" s="2087"/>
      <c r="N83" s="1490"/>
      <c r="O83" s="1489"/>
      <c r="P83" s="1489"/>
      <c r="Q83" s="1489"/>
      <c r="R83" s="1489"/>
      <c r="S83" s="1489"/>
      <c r="T83" s="1489"/>
      <c r="U83" s="1489"/>
    </row>
    <row r="84" spans="1:21" x14ac:dyDescent="0.25">
      <c r="A84" s="2104"/>
      <c r="B84" s="2105"/>
      <c r="C84" s="2105"/>
      <c r="D84" s="2106"/>
      <c r="E84" s="1611" t="s">
        <v>4206</v>
      </c>
      <c r="F84" s="1517">
        <f>IF(Cover!H13=0,"",VLOOKUP($O$1,'FY23 Data for FY24 Plan'!$A$3:$BC$929,47,FALSE))</f>
        <v>4838.32</v>
      </c>
      <c r="G84" s="1516">
        <v>0</v>
      </c>
      <c r="H84" s="1516"/>
      <c r="I84" s="2085"/>
      <c r="J84" s="2086"/>
      <c r="K84" s="2086"/>
      <c r="L84" s="2086"/>
      <c r="M84" s="2087"/>
      <c r="N84" s="1490"/>
      <c r="O84" s="1489"/>
      <c r="P84" s="1489"/>
      <c r="Q84" s="1489"/>
      <c r="R84" s="1489"/>
      <c r="S84" s="1489"/>
      <c r="T84" s="1489"/>
      <c r="U84" s="1489"/>
    </row>
    <row r="85" spans="1:21" x14ac:dyDescent="0.25">
      <c r="A85" s="2104"/>
      <c r="B85" s="2105"/>
      <c r="C85" s="2105"/>
      <c r="D85" s="2106"/>
      <c r="E85" s="1611" t="s">
        <v>4205</v>
      </c>
      <c r="F85" s="1517">
        <f>IF(Cover!H13=0,"",VLOOKUP($O$1,'FY23 Data for FY24 Plan'!$A$3:$BC$929,48,FALSE))</f>
        <v>205974.52</v>
      </c>
      <c r="G85" s="1516">
        <v>0</v>
      </c>
      <c r="H85" s="1516"/>
      <c r="I85" s="2085"/>
      <c r="J85" s="2086"/>
      <c r="K85" s="2086"/>
      <c r="L85" s="2086"/>
      <c r="M85" s="2087"/>
      <c r="N85" s="1490"/>
      <c r="O85" s="1489"/>
      <c r="P85" s="1489"/>
      <c r="Q85" s="1489"/>
      <c r="R85" s="1489"/>
      <c r="S85" s="1489"/>
      <c r="T85" s="1489"/>
      <c r="U85" s="1489"/>
    </row>
    <row r="86" spans="1:21" x14ac:dyDescent="0.25">
      <c r="A86" s="2104"/>
      <c r="B86" s="2105"/>
      <c r="C86" s="2105"/>
      <c r="D86" s="2106"/>
      <c r="E86" s="1611" t="s">
        <v>4204</v>
      </c>
      <c r="F86" s="1517">
        <f>IF(Cover!H13=0,"",VLOOKUP($O$1,'FY23 Data for FY24 Plan'!$A$3:$BC$929,49,FALSE))</f>
        <v>81731.210000000006</v>
      </c>
      <c r="G86" s="1516">
        <v>0</v>
      </c>
      <c r="H86" s="1516"/>
      <c r="I86" s="2085"/>
      <c r="J86" s="2086"/>
      <c r="K86" s="2086"/>
      <c r="L86" s="2086"/>
      <c r="M86" s="2087"/>
      <c r="N86" s="1490"/>
      <c r="O86" s="1489"/>
      <c r="P86" s="1489"/>
      <c r="Q86" s="1489"/>
      <c r="R86" s="1489"/>
      <c r="S86" s="1489"/>
      <c r="T86" s="1489"/>
      <c r="U86" s="1489"/>
    </row>
    <row r="87" spans="1:21" ht="15.75" thickBot="1" x14ac:dyDescent="0.3">
      <c r="A87" s="2107"/>
      <c r="B87" s="2108"/>
      <c r="C87" s="2108"/>
      <c r="D87" s="2109"/>
      <c r="E87" s="1611" t="s">
        <v>4203</v>
      </c>
      <c r="F87" s="1517">
        <f>IF(Cover!H13=0,"",VLOOKUP($O$1,'FY23 Data for FY24 Plan'!$A$3:$BC$929,50,FALSE))</f>
        <v>32143.13</v>
      </c>
      <c r="G87" s="1516">
        <v>0</v>
      </c>
      <c r="H87" s="1516"/>
      <c r="I87" s="2085"/>
      <c r="J87" s="2086"/>
      <c r="K87" s="2086"/>
      <c r="L87" s="2086"/>
      <c r="M87" s="2087"/>
      <c r="N87" s="1490"/>
      <c r="O87" s="1489"/>
      <c r="P87" s="1489"/>
      <c r="Q87" s="1489"/>
      <c r="R87" s="1489"/>
      <c r="S87" s="1489"/>
      <c r="T87" s="1489"/>
      <c r="U87" s="1489"/>
    </row>
    <row r="88" spans="1:21" ht="16.5" thickTop="1" thickBot="1" x14ac:dyDescent="0.3">
      <c r="A88" s="1541"/>
      <c r="B88" s="1614"/>
      <c r="C88" s="1614"/>
      <c r="D88" s="1614"/>
      <c r="E88" s="1571" t="s">
        <v>4316</v>
      </c>
      <c r="F88" s="1515">
        <f>IF(Cover!H13=0,"",VLOOKUP($O$1,'FY23 Data for FY24 Plan'!$A$3:$BC$929,51,FALSE))</f>
        <v>619133.91999999993</v>
      </c>
      <c r="G88" s="1514">
        <f>IF(AND(ISBLANK(G76),ISBLANK(G77),ISBLANK(G78),ISBLANK(G79),ISBLANK(G80),ISBLANK(G81),ISBLANK(G82),ISBLANK(G83),ISBLANK(G84),ISBLANK(G85),ISBLANK(G86),ISBLANK(G87)),"",SUM(G76:G87))</f>
        <v>121651</v>
      </c>
      <c r="H88" s="1514" t="str">
        <f>IF(AND(ISBLANK(H76),ISBLANK(H77),ISBLANK(H78),ISBLANK(H79),ISBLANK(H80),ISBLANK(H81),ISBLANK(H82),ISBLANK(H83),ISBLANK(H84),ISBLANK(H85),ISBLANK(H86),ISBLANK(H87)),"",SUM(H76:H87))</f>
        <v/>
      </c>
      <c r="I88" s="2081"/>
      <c r="J88" s="2039"/>
      <c r="K88" s="2039"/>
      <c r="L88" s="2039"/>
      <c r="M88" s="2040"/>
      <c r="N88" s="1490"/>
      <c r="O88" s="1489"/>
      <c r="P88" s="1489"/>
      <c r="Q88" s="1489"/>
      <c r="R88" s="1489"/>
      <c r="S88" s="1489"/>
      <c r="T88" s="1489"/>
      <c r="U88" s="1489"/>
    </row>
    <row r="89" spans="1:21" ht="16.5" thickTop="1" thickBot="1" x14ac:dyDescent="0.3">
      <c r="A89" s="1541"/>
      <c r="B89" s="1614"/>
      <c r="C89" s="1614"/>
      <c r="D89" s="1614"/>
      <c r="E89" s="1572" t="s">
        <v>4291</v>
      </c>
      <c r="F89" s="1513" t="s">
        <v>4315</v>
      </c>
      <c r="G89" s="1512"/>
      <c r="H89" s="1511"/>
      <c r="I89" s="1561">
        <f>SUM(G88,G89,G75,G65)</f>
        <v>833212</v>
      </c>
      <c r="J89" s="1615"/>
      <c r="K89" s="1615"/>
      <c r="L89" s="1615"/>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5616649.3099999996</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833212</v>
      </c>
      <c r="H90" s="1506" t="str">
        <f>IF(H65="","",SUM(H65,H75,H88,H89))</f>
        <v/>
      </c>
      <c r="I90" s="2088" t="s">
        <v>4313</v>
      </c>
      <c r="J90" s="2089"/>
      <c r="K90" s="2089"/>
      <c r="L90" s="2090" t="str">
        <f>IF(I89=0,"",IF(G90=G31,"  Complete, G90=G31",IF(G90&lt;G31,"  Incomplete, G90&lt;G31",IF(G90&gt;G31,"  Incomplete, G90&gt;G31"))))</f>
        <v xml:space="preserve">  Complete, G90=G31</v>
      </c>
      <c r="M90" s="2091"/>
      <c r="N90" s="1490">
        <f>IF(G51="[Optional]",1,IF(G31=G90,1,0))</f>
        <v>1</v>
      </c>
      <c r="O90" s="1489"/>
      <c r="P90" s="1489"/>
      <c r="Q90" s="1489"/>
      <c r="R90" s="1489"/>
      <c r="S90" s="1489"/>
      <c r="T90" s="1489"/>
      <c r="U90" s="1489"/>
    </row>
    <row r="91" spans="1:21" ht="63.75" customHeight="1" x14ac:dyDescent="0.25">
      <c r="A91" s="1541"/>
      <c r="B91" s="1614"/>
      <c r="C91" s="1614"/>
      <c r="D91" s="1614"/>
      <c r="E91" s="2045" t="s">
        <v>6997</v>
      </c>
      <c r="F91" s="2045"/>
      <c r="G91" s="2045"/>
      <c r="H91" s="2045"/>
      <c r="I91" s="2046"/>
      <c r="J91" s="2046"/>
      <c r="K91" s="2046"/>
      <c r="L91" s="2046"/>
      <c r="M91" s="2047"/>
      <c r="N91" s="1490"/>
      <c r="O91" s="1489"/>
      <c r="P91" s="1489"/>
      <c r="Q91" s="1489"/>
      <c r="R91" s="1489"/>
      <c r="S91" s="1489"/>
      <c r="T91" s="1489"/>
      <c r="U91" s="1489"/>
    </row>
    <row r="92" spans="1:21" ht="6" customHeight="1" x14ac:dyDescent="0.25">
      <c r="A92" s="1986"/>
      <c r="B92" s="1987"/>
      <c r="C92" s="1987"/>
      <c r="D92" s="1987"/>
      <c r="E92" s="1987"/>
      <c r="F92" s="1987"/>
      <c r="G92" s="1987"/>
      <c r="H92" s="1987"/>
      <c r="I92" s="1987"/>
      <c r="J92" s="1987"/>
      <c r="K92" s="1987"/>
      <c r="L92" s="1988"/>
      <c r="M92" s="1989"/>
      <c r="N92" s="1490"/>
      <c r="O92" s="1489"/>
      <c r="P92" s="1489"/>
      <c r="Q92" s="1489"/>
      <c r="R92" s="1489"/>
      <c r="S92" s="1489"/>
      <c r="T92" s="1489"/>
      <c r="U92" s="1489"/>
    </row>
    <row r="93" spans="1:21" ht="32.25" customHeight="1" x14ac:dyDescent="0.25">
      <c r="A93" s="1541"/>
      <c r="B93" s="1980" t="s">
        <v>6998</v>
      </c>
      <c r="C93" s="1904"/>
      <c r="D93" s="1904"/>
      <c r="E93" s="1904"/>
      <c r="F93" s="1904"/>
      <c r="G93" s="1981"/>
      <c r="H93" s="1981"/>
      <c r="I93" s="1981"/>
      <c r="J93" s="1981"/>
      <c r="K93" s="1981"/>
      <c r="L93" s="1982"/>
      <c r="M93" s="1983"/>
      <c r="N93" s="1490">
        <f>IF(B94="",1,IF(AND(B94="Required",LEN(G93)&gt;10),1,0))</f>
        <v>1</v>
      </c>
      <c r="O93" s="1489"/>
      <c r="P93" s="1489"/>
      <c r="Q93" s="1489"/>
      <c r="R93" s="1489"/>
      <c r="S93" s="1489"/>
      <c r="T93" s="1489"/>
      <c r="U93" s="1489"/>
    </row>
    <row r="94" spans="1:21" ht="84.75" customHeight="1" x14ac:dyDescent="0.25">
      <c r="A94" s="1541"/>
      <c r="B94" s="1984" t="str">
        <f>IF(G89&gt;0,"Required","")</f>
        <v/>
      </c>
      <c r="C94" s="1985"/>
      <c r="D94" s="1985"/>
      <c r="E94" s="1985"/>
      <c r="F94" s="1985"/>
      <c r="G94" s="1981"/>
      <c r="H94" s="1981"/>
      <c r="I94" s="1981"/>
      <c r="J94" s="1981"/>
      <c r="K94" s="1981"/>
      <c r="L94" s="1982"/>
      <c r="M94" s="1983"/>
      <c r="N94" s="1490"/>
      <c r="O94" s="1489"/>
      <c r="P94" s="1489"/>
      <c r="Q94" s="1489"/>
      <c r="R94" s="1489"/>
      <c r="S94" s="1489"/>
      <c r="T94" s="1489"/>
      <c r="U94" s="1489"/>
    </row>
    <row r="95" spans="1:21" ht="6" customHeight="1" x14ac:dyDescent="0.25">
      <c r="A95" s="1986"/>
      <c r="B95" s="1987"/>
      <c r="C95" s="1987"/>
      <c r="D95" s="1987"/>
      <c r="E95" s="1987"/>
      <c r="F95" s="1987"/>
      <c r="G95" s="1987"/>
      <c r="H95" s="1987"/>
      <c r="I95" s="1987"/>
      <c r="J95" s="1987"/>
      <c r="K95" s="1987"/>
      <c r="L95" s="1988"/>
      <c r="M95" s="1989"/>
      <c r="N95" s="1490"/>
      <c r="O95" s="1489"/>
      <c r="P95" s="1489"/>
      <c r="Q95" s="1489"/>
      <c r="R95" s="1489"/>
      <c r="S95" s="1489"/>
      <c r="T95" s="1489"/>
      <c r="U95" s="1489"/>
    </row>
    <row r="96" spans="1:21" ht="20.25" customHeight="1" x14ac:dyDescent="0.25">
      <c r="A96" s="1816" t="s">
        <v>4312</v>
      </c>
      <c r="B96" s="1817"/>
      <c r="C96" s="1817"/>
      <c r="D96" s="1817"/>
      <c r="E96" s="1817"/>
      <c r="F96" s="1817"/>
      <c r="G96" s="1817"/>
      <c r="H96" s="1817"/>
      <c r="I96" s="1817"/>
      <c r="J96" s="1817"/>
      <c r="K96" s="1817"/>
      <c r="L96" s="1817"/>
      <c r="M96" s="1818"/>
      <c r="N96" s="1490"/>
      <c r="O96" s="1489"/>
      <c r="P96" s="1489"/>
      <c r="Q96" s="1489"/>
      <c r="R96" s="1489"/>
      <c r="S96" s="1489"/>
      <c r="T96" s="1489"/>
      <c r="U96" s="1489"/>
    </row>
    <row r="97" spans="1:21" ht="65.25" customHeight="1" x14ac:dyDescent="0.25">
      <c r="A97" s="1819" t="s">
        <v>6999</v>
      </c>
      <c r="B97" s="1820"/>
      <c r="C97" s="1820"/>
      <c r="D97" s="1820"/>
      <c r="E97" s="1820"/>
      <c r="F97" s="1820"/>
      <c r="G97" s="1820"/>
      <c r="H97" s="1820"/>
      <c r="I97" s="1820"/>
      <c r="J97" s="1820"/>
      <c r="K97" s="1820"/>
      <c r="L97" s="1820"/>
      <c r="M97" s="1821"/>
      <c r="N97" s="1490"/>
      <c r="O97" s="1489"/>
      <c r="P97" s="1489"/>
      <c r="Q97" s="1489"/>
      <c r="R97" s="1489"/>
      <c r="S97" s="1489"/>
      <c r="T97" s="1489"/>
      <c r="U97" s="1489"/>
    </row>
    <row r="98" spans="1:21" ht="22.5" customHeight="1" x14ac:dyDescent="0.25">
      <c r="A98" s="1973" t="s">
        <v>4311</v>
      </c>
      <c r="B98" s="1974"/>
      <c r="C98" s="1974"/>
      <c r="D98" s="1974"/>
      <c r="E98" s="1974"/>
      <c r="F98" s="1974"/>
      <c r="G98" s="1974"/>
      <c r="H98" s="1974"/>
      <c r="I98" s="1974"/>
      <c r="J98" s="1974"/>
      <c r="K98" s="1974"/>
      <c r="L98" s="1974"/>
      <c r="M98" s="1975"/>
      <c r="N98" s="1490"/>
      <c r="O98" s="1489"/>
      <c r="P98" s="1489"/>
      <c r="Q98" s="1489"/>
      <c r="R98" s="1489"/>
      <c r="S98" s="1489"/>
      <c r="T98" s="1489"/>
      <c r="U98" s="1489"/>
    </row>
    <row r="99" spans="1:21" ht="22.5" customHeight="1" x14ac:dyDescent="0.25">
      <c r="A99" s="1542"/>
      <c r="B99" s="1997"/>
      <c r="C99" s="1997"/>
      <c r="D99" s="1997"/>
      <c r="E99" s="1997"/>
      <c r="F99" s="1998"/>
      <c r="G99" s="1602" t="s">
        <v>7000</v>
      </c>
      <c r="H99" s="1597" t="s">
        <v>7001</v>
      </c>
      <c r="I99" s="1999" t="s">
        <v>7236</v>
      </c>
      <c r="J99" s="1999"/>
      <c r="K99" s="1999"/>
      <c r="L99" s="1999"/>
      <c r="M99" s="2000"/>
      <c r="N99" s="1490"/>
      <c r="O99" s="1489"/>
      <c r="P99" s="1489"/>
      <c r="Q99" s="1489"/>
      <c r="R99" s="1489"/>
      <c r="S99" s="1489"/>
      <c r="T99" s="1489"/>
      <c r="U99" s="1489"/>
    </row>
    <row r="100" spans="1:21" ht="22.5" customHeight="1" x14ac:dyDescent="0.25">
      <c r="A100" s="1979" t="s">
        <v>4310</v>
      </c>
      <c r="B100" s="1993" t="s">
        <v>7002</v>
      </c>
      <c r="C100" s="1993"/>
      <c r="D100" s="1993"/>
      <c r="E100" s="1994"/>
      <c r="F100" s="1544" t="s">
        <v>6996</v>
      </c>
      <c r="G100" s="1505">
        <v>67000</v>
      </c>
      <c r="H100" s="1606" t="s">
        <v>6975</v>
      </c>
      <c r="I100" s="1999"/>
      <c r="J100" s="1999"/>
      <c r="K100" s="1999"/>
      <c r="L100" s="1999"/>
      <c r="M100" s="2000"/>
      <c r="N100" s="1490">
        <f>IF(AND(ISNUMBER(G100),H100&lt;&gt;0),1,0)</f>
        <v>1</v>
      </c>
      <c r="O100" s="1489"/>
      <c r="P100" s="1489"/>
      <c r="Q100" s="1489"/>
      <c r="R100" s="1489"/>
      <c r="S100" s="1489"/>
      <c r="T100" s="1489"/>
      <c r="U100" s="1489"/>
    </row>
    <row r="101" spans="1:21" ht="22.5" customHeight="1" x14ac:dyDescent="0.25">
      <c r="A101" s="1979"/>
      <c r="B101" s="1995"/>
      <c r="C101" s="1995"/>
      <c r="D101" s="1995"/>
      <c r="E101" s="1996"/>
      <c r="F101" s="1544" t="s">
        <v>4309</v>
      </c>
      <c r="G101" s="1505">
        <v>0</v>
      </c>
      <c r="H101" s="1606" t="s">
        <v>6975</v>
      </c>
      <c r="I101" s="1999"/>
      <c r="J101" s="1999"/>
      <c r="K101" s="1999"/>
      <c r="L101" s="1999"/>
      <c r="M101" s="2000"/>
      <c r="N101" s="1490">
        <f t="shared" ref="N101:N102" si="0">IF(AND(ISNUMBER(G101),H101&lt;&gt;0),1,0)</f>
        <v>1</v>
      </c>
      <c r="O101" s="1489"/>
      <c r="P101" s="1489"/>
      <c r="Q101" s="1489"/>
      <c r="R101" s="1489"/>
      <c r="S101" s="1489"/>
      <c r="T101" s="1489"/>
      <c r="U101" s="1489"/>
    </row>
    <row r="102" spans="1:21" ht="22.5" customHeight="1" x14ac:dyDescent="0.25">
      <c r="A102" s="1979"/>
      <c r="B102" s="1995"/>
      <c r="C102" s="1995"/>
      <c r="D102" s="1995"/>
      <c r="E102" s="1996"/>
      <c r="F102" s="1544" t="s">
        <v>4308</v>
      </c>
      <c r="G102" s="1505">
        <v>225000</v>
      </c>
      <c r="H102" s="1603" t="s">
        <v>6975</v>
      </c>
      <c r="I102" s="1604"/>
      <c r="J102" s="1604"/>
      <c r="K102" s="1604"/>
      <c r="L102" s="1604"/>
      <c r="M102" s="1605"/>
      <c r="N102" s="1490">
        <f t="shared" si="0"/>
        <v>1</v>
      </c>
      <c r="O102" s="1489"/>
      <c r="P102" s="1489"/>
      <c r="Q102" s="1489"/>
      <c r="R102" s="1489"/>
      <c r="S102" s="1489"/>
      <c r="T102" s="1489"/>
      <c r="U102" s="1489"/>
    </row>
    <row r="103" spans="1:21" ht="6" customHeight="1" x14ac:dyDescent="0.25">
      <c r="A103" s="1857"/>
      <c r="B103" s="1858"/>
      <c r="C103" s="1858"/>
      <c r="D103" s="1858"/>
      <c r="E103" s="1858"/>
      <c r="F103" s="1858"/>
      <c r="G103" s="1859"/>
      <c r="H103" s="1859"/>
      <c r="I103" s="1859"/>
      <c r="J103" s="1858"/>
      <c r="K103" s="1858"/>
      <c r="L103" s="1990"/>
      <c r="M103" s="1991"/>
      <c r="N103" s="1490"/>
      <c r="O103" s="1489"/>
      <c r="P103" s="1489"/>
      <c r="Q103" s="1489"/>
      <c r="R103" s="1489"/>
      <c r="S103" s="1489"/>
    </row>
    <row r="104" spans="1:21" ht="32.25" customHeight="1" x14ac:dyDescent="0.25">
      <c r="A104" s="1992" t="s">
        <v>4307</v>
      </c>
      <c r="B104" s="2001" t="s">
        <v>7003</v>
      </c>
      <c r="C104" s="2002"/>
      <c r="D104" s="2002"/>
      <c r="E104" s="2002"/>
      <c r="F104" s="2003"/>
      <c r="G104" s="1549" t="s">
        <v>4306</v>
      </c>
      <c r="H104" s="1557" t="s">
        <v>4333</v>
      </c>
      <c r="I104" s="1867" t="s">
        <v>4305</v>
      </c>
      <c r="J104" s="1868"/>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842"/>
      <c r="B105" s="1831" t="str">
        <f>IF($O$1=0,"",IF($G$100&gt;=5000,"Response Required","Response Optional"))</f>
        <v>Response Required</v>
      </c>
      <c r="C105" s="1832"/>
      <c r="D105" s="1832"/>
      <c r="E105" s="1832"/>
      <c r="F105" s="1833"/>
      <c r="G105" s="1837">
        <v>67000</v>
      </c>
      <c r="H105" s="1838"/>
      <c r="I105" s="1880">
        <v>0</v>
      </c>
      <c r="J105" s="1881"/>
      <c r="K105" s="1882"/>
      <c r="L105" s="1837">
        <v>0</v>
      </c>
      <c r="M105" s="1840"/>
      <c r="N105" s="1490"/>
      <c r="O105" s="1489"/>
      <c r="P105" s="1489"/>
      <c r="Q105" s="1489"/>
      <c r="R105" s="1489"/>
      <c r="S105" s="1489"/>
      <c r="T105" s="1489"/>
      <c r="U105" s="1489"/>
    </row>
    <row r="106" spans="1:21" ht="32.25" customHeight="1" x14ac:dyDescent="0.25">
      <c r="A106" s="1842"/>
      <c r="B106" s="1831"/>
      <c r="C106" s="1832"/>
      <c r="D106" s="1832"/>
      <c r="E106" s="1832"/>
      <c r="F106" s="1833"/>
      <c r="G106" s="1550" t="s">
        <v>4304</v>
      </c>
      <c r="H106" s="1557"/>
      <c r="I106" s="1867" t="s">
        <v>4303</v>
      </c>
      <c r="J106" s="1868"/>
      <c r="K106" s="1557"/>
      <c r="L106" s="1504"/>
      <c r="M106" s="1503"/>
      <c r="N106" s="1490"/>
      <c r="O106" s="1489"/>
      <c r="P106" s="1489"/>
      <c r="Q106" s="1489"/>
      <c r="R106" s="1489"/>
      <c r="S106" s="1489"/>
      <c r="T106" s="1489"/>
      <c r="U106" s="1489"/>
    </row>
    <row r="107" spans="1:21" ht="25.5" customHeight="1" x14ac:dyDescent="0.25">
      <c r="A107" s="1843"/>
      <c r="B107" s="1834"/>
      <c r="C107" s="1835"/>
      <c r="D107" s="1835"/>
      <c r="E107" s="1835"/>
      <c r="F107" s="1836"/>
      <c r="G107" s="1837">
        <v>0</v>
      </c>
      <c r="H107" s="1838"/>
      <c r="I107" s="1880">
        <v>0</v>
      </c>
      <c r="J107" s="1881"/>
      <c r="K107" s="1882"/>
      <c r="L107" s="1502"/>
      <c r="M107" s="1501"/>
      <c r="N107" s="1490"/>
      <c r="O107" s="1489"/>
      <c r="P107" s="1489"/>
      <c r="Q107" s="1489"/>
      <c r="R107" s="1489"/>
      <c r="S107" s="1489"/>
      <c r="T107" s="1489"/>
      <c r="U107" s="1489"/>
    </row>
    <row r="108" spans="1:21" ht="47.25" customHeight="1" x14ac:dyDescent="0.25">
      <c r="A108" s="1874"/>
      <c r="B108" s="1854" t="s">
        <v>4302</v>
      </c>
      <c r="C108" s="1855"/>
      <c r="D108" s="1855"/>
      <c r="E108" s="1855"/>
      <c r="F108" s="1856"/>
      <c r="G108" s="1850" t="s">
        <v>7259</v>
      </c>
      <c r="H108" s="1850"/>
      <c r="I108" s="1850"/>
      <c r="J108" s="1850"/>
      <c r="K108" s="1850"/>
      <c r="L108" s="1850"/>
      <c r="M108" s="1851"/>
      <c r="N108" s="1490">
        <f>IF(B109="",1,IF(AND(B109="Required",LEN(G108)&gt;10),1,0))</f>
        <v>1</v>
      </c>
      <c r="O108" s="1489"/>
      <c r="P108" s="1489"/>
      <c r="Q108" s="1496"/>
      <c r="R108" s="1496"/>
      <c r="S108" s="1496"/>
      <c r="T108" s="1496"/>
      <c r="U108" s="1489"/>
    </row>
    <row r="109" spans="1:21" ht="66" customHeight="1" x14ac:dyDescent="0.25">
      <c r="A109" s="1875"/>
      <c r="B109" s="1862" t="str">
        <f>IF(M104="Yes","Required","")</f>
        <v/>
      </c>
      <c r="C109" s="1863"/>
      <c r="D109" s="1863"/>
      <c r="E109" s="1863"/>
      <c r="F109" s="1864"/>
      <c r="G109" s="1852"/>
      <c r="H109" s="1852"/>
      <c r="I109" s="1852"/>
      <c r="J109" s="1852"/>
      <c r="K109" s="1852"/>
      <c r="L109" s="1852"/>
      <c r="M109" s="1853"/>
      <c r="N109" s="1490"/>
      <c r="O109" s="1489"/>
      <c r="P109" s="1489"/>
      <c r="Q109" s="1496"/>
      <c r="R109" s="1496"/>
      <c r="S109" s="1496"/>
      <c r="T109" s="1496"/>
    </row>
    <row r="110" spans="1:21" ht="6" customHeight="1" x14ac:dyDescent="0.25">
      <c r="A110" s="1857"/>
      <c r="B110" s="1858"/>
      <c r="C110" s="1858"/>
      <c r="D110" s="1858"/>
      <c r="E110" s="1858"/>
      <c r="F110" s="1858"/>
      <c r="G110" s="1859"/>
      <c r="H110" s="1859"/>
      <c r="I110" s="1859"/>
      <c r="J110" s="1859"/>
      <c r="K110" s="1859"/>
      <c r="L110" s="1860"/>
      <c r="M110" s="1861"/>
      <c r="N110" s="1490"/>
      <c r="O110" s="1489"/>
      <c r="P110" s="1489"/>
      <c r="Q110" s="1489"/>
      <c r="R110" s="1489"/>
      <c r="S110" s="1489"/>
    </row>
    <row r="111" spans="1:21" ht="32.25" customHeight="1" x14ac:dyDescent="0.25">
      <c r="A111" s="1841" t="s">
        <v>4301</v>
      </c>
      <c r="B111" s="1827" t="s">
        <v>7004</v>
      </c>
      <c r="C111" s="1827"/>
      <c r="D111" s="1827"/>
      <c r="E111" s="1827"/>
      <c r="F111" s="1827"/>
      <c r="G111" s="1552" t="s">
        <v>4300</v>
      </c>
      <c r="H111" s="1557"/>
      <c r="I111" s="1867" t="s">
        <v>4299</v>
      </c>
      <c r="J111" s="1868"/>
      <c r="K111" s="1557"/>
      <c r="L111" s="1552" t="s">
        <v>4298</v>
      </c>
      <c r="M111" s="1556"/>
      <c r="N111" s="1490">
        <f>IF(B112="Response Optional",1,IF(AND(B112="Response Required",COUNTIF(H111:M113,"Yes")),1,0))</f>
        <v>1</v>
      </c>
      <c r="O111" s="1489"/>
      <c r="P111" s="1489"/>
      <c r="Q111" s="1489"/>
      <c r="R111" s="1489"/>
      <c r="S111" s="1489"/>
    </row>
    <row r="112" spans="1:21" ht="25.5" customHeight="1" x14ac:dyDescent="0.25">
      <c r="A112" s="1842"/>
      <c r="B112" s="1844" t="str">
        <f>IF($O$1=0,"",IF($G$101&gt;=5000,"Response Required","Response Optional"))</f>
        <v>Response Optional</v>
      </c>
      <c r="C112" s="1845"/>
      <c r="D112" s="1845"/>
      <c r="E112" s="1845"/>
      <c r="F112" s="1846"/>
      <c r="G112" s="1837">
        <v>0</v>
      </c>
      <c r="H112" s="1838"/>
      <c r="I112" s="1880">
        <v>0</v>
      </c>
      <c r="J112" s="1881"/>
      <c r="K112" s="1882"/>
      <c r="L112" s="1837">
        <v>0</v>
      </c>
      <c r="M112" s="1840"/>
      <c r="N112" s="1490"/>
      <c r="O112" s="1489"/>
      <c r="P112" s="1489"/>
      <c r="Q112" s="1489"/>
      <c r="R112" s="1489"/>
      <c r="S112" s="1489"/>
    </row>
    <row r="113" spans="1:20" ht="32.25" customHeight="1" x14ac:dyDescent="0.25">
      <c r="A113" s="1842"/>
      <c r="B113" s="1844"/>
      <c r="C113" s="1845"/>
      <c r="D113" s="1845"/>
      <c r="E113" s="1845"/>
      <c r="F113" s="1846"/>
      <c r="G113" s="1552" t="s">
        <v>4297</v>
      </c>
      <c r="H113" s="1557" t="s">
        <v>4333</v>
      </c>
      <c r="I113" s="1867" t="s">
        <v>4296</v>
      </c>
      <c r="J113" s="1868"/>
      <c r="K113" s="1557"/>
      <c r="L113" s="1551" t="s">
        <v>4291</v>
      </c>
      <c r="M113" s="1556"/>
      <c r="N113" s="1490"/>
      <c r="O113" s="1489"/>
      <c r="P113" s="1489"/>
      <c r="Q113" s="1489"/>
      <c r="R113" s="1489"/>
      <c r="S113" s="1489"/>
    </row>
    <row r="114" spans="1:20" ht="25.5" customHeight="1" x14ac:dyDescent="0.25">
      <c r="A114" s="1843"/>
      <c r="B114" s="1847"/>
      <c r="C114" s="1848"/>
      <c r="D114" s="1848"/>
      <c r="E114" s="1848"/>
      <c r="F114" s="1849"/>
      <c r="G114" s="1837">
        <v>6700</v>
      </c>
      <c r="H114" s="1838"/>
      <c r="I114" s="1880">
        <v>0</v>
      </c>
      <c r="J114" s="1881"/>
      <c r="K114" s="1882"/>
      <c r="L114" s="1837">
        <v>0</v>
      </c>
      <c r="M114" s="1840"/>
      <c r="N114" s="1490"/>
      <c r="O114" s="1489"/>
      <c r="P114" s="1489"/>
      <c r="Q114" s="1489"/>
      <c r="R114" s="1489"/>
      <c r="S114" s="1489"/>
    </row>
    <row r="115" spans="1:20" ht="44.25" customHeight="1" x14ac:dyDescent="0.25">
      <c r="A115" s="1902"/>
      <c r="B115" s="1883" t="s">
        <v>7005</v>
      </c>
      <c r="C115" s="1884"/>
      <c r="D115" s="1884"/>
      <c r="E115" s="1884"/>
      <c r="F115" s="1884"/>
      <c r="G115" s="1850" t="s">
        <v>7256</v>
      </c>
      <c r="H115" s="1850"/>
      <c r="I115" s="1850"/>
      <c r="J115" s="1850"/>
      <c r="K115" s="1850"/>
      <c r="L115" s="1850"/>
      <c r="M115" s="1851"/>
      <c r="N115" s="1490">
        <f>IF(B116="",1,IF(AND(B116="Required",LEN(G115)&gt;10),1,0))</f>
        <v>1</v>
      </c>
      <c r="O115" s="1489"/>
      <c r="P115" s="1489"/>
      <c r="Q115" s="1496"/>
      <c r="R115" s="1496"/>
      <c r="S115" s="1496"/>
      <c r="T115" s="1496"/>
    </row>
    <row r="116" spans="1:20" ht="66" customHeight="1" x14ac:dyDescent="0.25">
      <c r="A116" s="1875"/>
      <c r="B116" s="1862" t="str">
        <f>IF(M113="Yes","Required","")</f>
        <v/>
      </c>
      <c r="C116" s="1863"/>
      <c r="D116" s="1863"/>
      <c r="E116" s="1863"/>
      <c r="F116" s="1864"/>
      <c r="G116" s="1852"/>
      <c r="H116" s="1852"/>
      <c r="I116" s="1852"/>
      <c r="J116" s="1852"/>
      <c r="K116" s="1852"/>
      <c r="L116" s="1852"/>
      <c r="M116" s="1853"/>
      <c r="N116" s="1490"/>
      <c r="O116" s="1489"/>
      <c r="P116" s="1489"/>
      <c r="Q116" s="1496"/>
      <c r="R116" s="1496"/>
      <c r="S116" s="1496"/>
      <c r="T116" s="1496"/>
    </row>
    <row r="117" spans="1:20" ht="6" customHeight="1" x14ac:dyDescent="0.25">
      <c r="A117" s="1857"/>
      <c r="B117" s="1858"/>
      <c r="C117" s="1858"/>
      <c r="D117" s="1858"/>
      <c r="E117" s="1858"/>
      <c r="F117" s="1858"/>
      <c r="G117" s="1859"/>
      <c r="H117" s="1859"/>
      <c r="I117" s="1859"/>
      <c r="J117" s="1859"/>
      <c r="K117" s="1859"/>
      <c r="L117" s="1860"/>
      <c r="M117" s="1861"/>
      <c r="N117" s="1490"/>
      <c r="O117" s="1489"/>
      <c r="P117" s="1489"/>
      <c r="Q117" s="1489"/>
      <c r="R117" s="1489"/>
      <c r="S117" s="1489"/>
    </row>
    <row r="118" spans="1:20" ht="32.85" customHeight="1" x14ac:dyDescent="0.25">
      <c r="A118" s="1841" t="s">
        <v>4295</v>
      </c>
      <c r="B118" s="1827" t="s">
        <v>7006</v>
      </c>
      <c r="C118" s="1827"/>
      <c r="D118" s="1827"/>
      <c r="E118" s="1827"/>
      <c r="F118" s="1827"/>
      <c r="G118" s="1550" t="s">
        <v>4294</v>
      </c>
      <c r="H118" s="1558"/>
      <c r="I118" s="1867" t="s">
        <v>4293</v>
      </c>
      <c r="J118" s="1868"/>
      <c r="K118" s="1558"/>
      <c r="L118" s="1500"/>
      <c r="M118" s="1499"/>
      <c r="N118" s="1490">
        <f>IF(B119="Response Optional",1,IF(AND(B119="Response Required",COUNTIF(H118:K120,"Yes")),1,0))</f>
        <v>1</v>
      </c>
      <c r="O118" s="1489"/>
      <c r="P118" s="1489"/>
      <c r="Q118" s="1489"/>
      <c r="R118" s="1489"/>
      <c r="S118" s="1489"/>
    </row>
    <row r="119" spans="1:20" ht="25.5" customHeight="1" x14ac:dyDescent="0.25">
      <c r="A119" s="1842"/>
      <c r="B119" s="1844" t="str">
        <f>IF($O$1=0,"",IF($G$102&gt;=5000,"Response Required","Response Optional"))</f>
        <v>Response Required</v>
      </c>
      <c r="C119" s="1845"/>
      <c r="D119" s="1845"/>
      <c r="E119" s="1845"/>
      <c r="F119" s="1846"/>
      <c r="G119" s="1837">
        <v>0</v>
      </c>
      <c r="H119" s="1838"/>
      <c r="I119" s="1880">
        <v>15000</v>
      </c>
      <c r="J119" s="1881"/>
      <c r="K119" s="1882"/>
      <c r="L119" s="1500"/>
      <c r="M119" s="1499"/>
      <c r="N119" s="1490"/>
      <c r="O119" s="1489"/>
      <c r="P119" s="1489"/>
      <c r="Q119" s="1489"/>
      <c r="R119" s="1489"/>
      <c r="S119" s="1489"/>
    </row>
    <row r="120" spans="1:20" ht="32.85" customHeight="1" x14ac:dyDescent="0.25">
      <c r="A120" s="1842"/>
      <c r="B120" s="1844"/>
      <c r="C120" s="1845"/>
      <c r="D120" s="1845"/>
      <c r="E120" s="1845"/>
      <c r="F120" s="1846"/>
      <c r="G120" s="1550" t="s">
        <v>4292</v>
      </c>
      <c r="H120" s="1558" t="s">
        <v>4333</v>
      </c>
      <c r="I120" s="1867" t="s">
        <v>4291</v>
      </c>
      <c r="J120" s="1868"/>
      <c r="K120" s="1558"/>
      <c r="L120" s="1500"/>
      <c r="M120" s="1499"/>
      <c r="N120" s="1490"/>
      <c r="O120" s="1489"/>
      <c r="P120" s="1489"/>
      <c r="Q120" s="1489"/>
      <c r="R120" s="1489"/>
      <c r="S120" s="1489"/>
    </row>
    <row r="121" spans="1:20" ht="25.5" customHeight="1" x14ac:dyDescent="0.25">
      <c r="A121" s="1843"/>
      <c r="B121" s="1847"/>
      <c r="C121" s="1848"/>
      <c r="D121" s="1848"/>
      <c r="E121" s="1848"/>
      <c r="F121" s="1849"/>
      <c r="G121" s="1837">
        <v>12700</v>
      </c>
      <c r="H121" s="1838"/>
      <c r="I121" s="1880">
        <v>0</v>
      </c>
      <c r="J121" s="1881"/>
      <c r="K121" s="1882"/>
      <c r="L121" s="1498"/>
      <c r="M121" s="1497"/>
      <c r="N121" s="1490"/>
      <c r="O121" s="1489"/>
      <c r="P121" s="1489"/>
      <c r="Q121" s="1489"/>
      <c r="R121" s="1489"/>
      <c r="S121" s="1489"/>
    </row>
    <row r="122" spans="1:20" ht="45" customHeight="1" x14ac:dyDescent="0.25">
      <c r="A122" s="1878"/>
      <c r="B122" s="1903" t="s">
        <v>4290</v>
      </c>
      <c r="C122" s="1904"/>
      <c r="D122" s="1904"/>
      <c r="E122" s="1904"/>
      <c r="F122" s="1905"/>
      <c r="G122" s="1876" t="s">
        <v>7258</v>
      </c>
      <c r="H122" s="1850"/>
      <c r="I122" s="1850"/>
      <c r="J122" s="1850"/>
      <c r="K122" s="1850"/>
      <c r="L122" s="1850"/>
      <c r="M122" s="1851"/>
      <c r="N122" s="1490">
        <f>IF(B123="",1,IF(AND(B123="Required",LEN(G122)&gt;10),1,0))</f>
        <v>1</v>
      </c>
      <c r="O122" s="1489"/>
      <c r="P122" s="1489"/>
      <c r="Q122" s="1496"/>
      <c r="R122" s="1496"/>
      <c r="S122" s="1496"/>
      <c r="T122" s="1496"/>
    </row>
    <row r="123" spans="1:20" ht="66" customHeight="1" x14ac:dyDescent="0.25">
      <c r="A123" s="1879"/>
      <c r="B123" s="1828" t="str">
        <f>IF(K120="Yes","Required","")</f>
        <v/>
      </c>
      <c r="C123" s="1829"/>
      <c r="D123" s="1829"/>
      <c r="E123" s="1829"/>
      <c r="F123" s="1830"/>
      <c r="G123" s="1877"/>
      <c r="H123" s="1852"/>
      <c r="I123" s="1852"/>
      <c r="J123" s="1852"/>
      <c r="K123" s="1852"/>
      <c r="L123" s="1852"/>
      <c r="M123" s="1853"/>
      <c r="N123" s="1490"/>
      <c r="O123" s="1489"/>
      <c r="P123" s="1489"/>
      <c r="Q123" s="1496"/>
      <c r="R123" s="1496"/>
      <c r="S123" s="1496"/>
      <c r="T123" s="1496"/>
    </row>
    <row r="124" spans="1:20" ht="6" customHeight="1" x14ac:dyDescent="0.25">
      <c r="A124" s="1857"/>
      <c r="B124" s="1858"/>
      <c r="C124" s="1858"/>
      <c r="D124" s="1858"/>
      <c r="E124" s="1858"/>
      <c r="F124" s="1858"/>
      <c r="G124" s="1859"/>
      <c r="H124" s="1859"/>
      <c r="I124" s="1859"/>
      <c r="J124" s="1859"/>
      <c r="K124" s="1859"/>
      <c r="L124" s="1860"/>
      <c r="M124" s="1861"/>
      <c r="N124" s="1490"/>
      <c r="O124" s="1489"/>
      <c r="P124" s="1489"/>
      <c r="Q124" s="1489"/>
      <c r="R124" s="1489"/>
      <c r="S124" s="1489"/>
    </row>
    <row r="125" spans="1:20" ht="20.25" customHeight="1" x14ac:dyDescent="0.25">
      <c r="A125" s="1816" t="s">
        <v>4289</v>
      </c>
      <c r="B125" s="1817"/>
      <c r="C125" s="1817"/>
      <c r="D125" s="1817"/>
      <c r="E125" s="1817"/>
      <c r="F125" s="1817"/>
      <c r="G125" s="1817"/>
      <c r="H125" s="1817"/>
      <c r="I125" s="1817"/>
      <c r="J125" s="1817"/>
      <c r="K125" s="1817"/>
      <c r="L125" s="1817"/>
      <c r="M125" s="1818"/>
      <c r="N125" s="1490"/>
      <c r="O125" s="1489"/>
      <c r="P125" s="1489"/>
      <c r="Q125" s="1489"/>
      <c r="R125" s="1489"/>
      <c r="S125" s="1489"/>
    </row>
    <row r="126" spans="1:20" ht="50.25" customHeight="1" x14ac:dyDescent="0.25">
      <c r="A126" s="1819" t="s">
        <v>7007</v>
      </c>
      <c r="B126" s="1820"/>
      <c r="C126" s="1820"/>
      <c r="D126" s="1820"/>
      <c r="E126" s="1820"/>
      <c r="F126" s="1820"/>
      <c r="G126" s="1820"/>
      <c r="H126" s="1820"/>
      <c r="I126" s="1820"/>
      <c r="J126" s="1820"/>
      <c r="K126" s="1820"/>
      <c r="L126" s="1820"/>
      <c r="M126" s="1821"/>
      <c r="N126" s="1490"/>
      <c r="O126" s="1489"/>
      <c r="P126" s="1489"/>
      <c r="Q126" s="1489"/>
      <c r="R126" s="1489"/>
      <c r="S126" s="1489"/>
    </row>
    <row r="127" spans="1:20" ht="22.5" customHeight="1" x14ac:dyDescent="0.25">
      <c r="A127" s="1822" t="s">
        <v>7008</v>
      </c>
      <c r="B127" s="1823"/>
      <c r="C127" s="1823"/>
      <c r="D127" s="1823"/>
      <c r="E127" s="1823"/>
      <c r="F127" s="1823"/>
      <c r="G127" s="1823"/>
      <c r="H127" s="1823"/>
      <c r="I127" s="1823"/>
      <c r="J127" s="1823"/>
      <c r="K127" s="1823"/>
      <c r="L127" s="1823"/>
      <c r="M127" s="1824"/>
      <c r="N127" s="1490"/>
      <c r="O127" s="1489"/>
      <c r="P127" s="1489"/>
      <c r="Q127" s="1489"/>
      <c r="R127" s="1489"/>
      <c r="S127" s="1489"/>
    </row>
    <row r="128" spans="1:20" ht="15" customHeight="1" x14ac:dyDescent="0.25">
      <c r="A128" s="1495"/>
      <c r="D128" s="1839" t="s">
        <v>7009</v>
      </c>
      <c r="E128" s="1813"/>
      <c r="F128" s="1813"/>
      <c r="G128" s="1813"/>
      <c r="H128" s="1813"/>
      <c r="I128" s="1813"/>
      <c r="J128" s="1813"/>
      <c r="K128" s="1813"/>
      <c r="L128" s="1813"/>
      <c r="M128" s="1814"/>
      <c r="N128" s="1490"/>
      <c r="O128" s="1489"/>
      <c r="P128" s="1489"/>
      <c r="Q128" s="1489"/>
      <c r="R128" s="1489"/>
      <c r="S128" s="1489"/>
    </row>
    <row r="129" spans="1:19" ht="18" customHeight="1" x14ac:dyDescent="0.25">
      <c r="A129" s="1495"/>
      <c r="C129" s="1616"/>
      <c r="D129" s="1813"/>
      <c r="E129" s="1813"/>
      <c r="F129" s="1813"/>
      <c r="G129" s="1813"/>
      <c r="H129" s="1813"/>
      <c r="I129" s="1813"/>
      <c r="J129" s="1813"/>
      <c r="K129" s="1813"/>
      <c r="L129" s="1813"/>
      <c r="M129" s="1814"/>
      <c r="N129" s="1490"/>
      <c r="O129" s="1489"/>
      <c r="P129" s="1489"/>
      <c r="Q129" s="1489"/>
      <c r="R129" s="1489"/>
      <c r="S129" s="1489"/>
    </row>
    <row r="130" spans="1:19" ht="18" customHeight="1" x14ac:dyDescent="0.25">
      <c r="A130" s="1495"/>
      <c r="C130" s="1617"/>
      <c r="D130" s="1618" t="str">
        <f>IF(G101="[Enter $]","",IF($G$101&gt;=1,"Required","N/A"))</f>
        <v>N/A</v>
      </c>
      <c r="E130" s="1558" t="s">
        <v>4333</v>
      </c>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25">
      <c r="A131" s="1495"/>
      <c r="D131" s="1812" t="s">
        <v>7223</v>
      </c>
      <c r="E131" s="1813"/>
      <c r="F131" s="1813"/>
      <c r="G131" s="1813"/>
      <c r="H131" s="1813"/>
      <c r="I131" s="1813"/>
      <c r="J131" s="1813"/>
      <c r="K131" s="1813"/>
      <c r="L131" s="1813"/>
      <c r="M131" s="1814"/>
      <c r="N131" s="1490"/>
      <c r="O131" s="1489"/>
      <c r="P131" s="1489"/>
      <c r="Q131" s="1489"/>
      <c r="R131" s="1489"/>
      <c r="S131" s="1489"/>
    </row>
    <row r="132" spans="1:19" ht="18" customHeight="1" x14ac:dyDescent="0.25">
      <c r="A132" s="1495"/>
      <c r="C132" s="1616"/>
      <c r="D132" s="1813"/>
      <c r="E132" s="1813"/>
      <c r="F132" s="1813"/>
      <c r="G132" s="1813"/>
      <c r="H132" s="1813"/>
      <c r="I132" s="1813"/>
      <c r="J132" s="1813"/>
      <c r="K132" s="1813"/>
      <c r="L132" s="1813"/>
      <c r="M132" s="1814"/>
      <c r="N132" s="1490"/>
      <c r="O132" s="1489"/>
      <c r="P132" s="1489"/>
      <c r="Q132" s="1489"/>
      <c r="R132" s="1489"/>
      <c r="S132" s="1489"/>
    </row>
    <row r="133" spans="1:19" ht="18" customHeight="1" x14ac:dyDescent="0.25">
      <c r="A133" s="1495"/>
      <c r="C133" s="1619"/>
      <c r="D133" s="1618" t="str">
        <f>IF(G101="[Enter $]","",IF($G$101&gt;=0,"Required","N/A"))</f>
        <v>Required</v>
      </c>
      <c r="E133" s="1558" t="s">
        <v>4381</v>
      </c>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2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25">
      <c r="A135" s="1495"/>
      <c r="D135" s="1618" t="str">
        <f>IF($E$133=0,"",IF($E$133="Yes","Required","N/A"))</f>
        <v>N/A</v>
      </c>
      <c r="E135" s="1558" t="s">
        <v>4333</v>
      </c>
      <c r="M135" s="1494"/>
      <c r="N135" s="1490">
        <f>IF(OR(D135="",D135="N/A"),1,IF(AND(D135="Required",E135&lt;&gt;""),1,0))</f>
        <v>1</v>
      </c>
      <c r="O135" s="1489"/>
      <c r="P135" s="1489"/>
      <c r="Q135" s="1489"/>
      <c r="R135" s="1489"/>
      <c r="S135" s="1489"/>
    </row>
    <row r="136" spans="1:19" x14ac:dyDescent="0.25">
      <c r="A136" s="1495"/>
      <c r="D136" s="1601" t="s">
        <v>7010</v>
      </c>
      <c r="M136" s="1494"/>
      <c r="N136" s="1490"/>
      <c r="O136" s="1489"/>
      <c r="P136" s="1489"/>
      <c r="Q136" s="1489"/>
      <c r="R136" s="1489"/>
      <c r="S136" s="1489"/>
    </row>
    <row r="137" spans="1:19" x14ac:dyDescent="0.25">
      <c r="A137" s="1495"/>
      <c r="D137" s="1815" t="str">
        <f>IF($E$133=0,"",IF($E$133="Yes","Required","N/A"))</f>
        <v>N/A</v>
      </c>
      <c r="E137" s="1553" t="s">
        <v>4287</v>
      </c>
      <c r="F137" s="1825">
        <v>45194</v>
      </c>
      <c r="G137" s="1826"/>
      <c r="M137" s="1494"/>
      <c r="N137" s="1490">
        <f>IF(OR(D137="",D137="N/A"),1,IF(AND(D137="Required",F137&lt;&gt;""),1,0))</f>
        <v>1</v>
      </c>
      <c r="O137" s="1489"/>
      <c r="P137" s="1489"/>
      <c r="Q137" s="1489"/>
      <c r="R137" s="1489"/>
      <c r="S137" s="1489"/>
    </row>
    <row r="138" spans="1:19" x14ac:dyDescent="0.25">
      <c r="A138" s="1495"/>
      <c r="D138" s="1815"/>
      <c r="E138" s="1553" t="s">
        <v>4286</v>
      </c>
      <c r="F138" s="1885" t="s">
        <v>7257</v>
      </c>
      <c r="G138" s="1826"/>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1891" t="s">
        <v>4285</v>
      </c>
      <c r="C141" s="1891"/>
      <c r="D141" s="1891"/>
      <c r="E141" s="1891"/>
      <c r="F141" s="1891"/>
      <c r="G141" s="1891"/>
      <c r="H141" s="1891"/>
      <c r="I141" s="1891"/>
      <c r="J141" s="1891"/>
      <c r="K141" s="1891"/>
      <c r="L141" s="1891"/>
      <c r="M141" s="1892"/>
      <c r="N141" s="1489"/>
      <c r="O141" s="1489"/>
      <c r="P141" s="1489"/>
      <c r="Q141" s="1489"/>
      <c r="R141" s="1489"/>
      <c r="S141" s="1489"/>
    </row>
    <row r="142" spans="1:19" ht="29.25" customHeight="1" x14ac:dyDescent="0.25">
      <c r="A142" s="1893" t="s">
        <v>4284</v>
      </c>
      <c r="B142" s="1894"/>
      <c r="C142" s="1894"/>
      <c r="D142" s="1894"/>
      <c r="E142" s="1894"/>
      <c r="F142" s="1894"/>
      <c r="G142" s="1894"/>
      <c r="H142" s="1894"/>
      <c r="I142" s="1894"/>
      <c r="J142" s="1894"/>
      <c r="K142" s="1894"/>
      <c r="L142" s="1894"/>
      <c r="M142" s="1895"/>
      <c r="N142" s="1489"/>
      <c r="O142" s="1489"/>
      <c r="P142" s="1489"/>
      <c r="Q142" s="1489"/>
      <c r="R142" s="1489"/>
      <c r="S142" s="1489"/>
    </row>
    <row r="143" spans="1:19" x14ac:dyDescent="0.25">
      <c r="A143" s="1886" t="s">
        <v>4283</v>
      </c>
      <c r="B143" s="1887"/>
      <c r="C143" s="1887"/>
      <c r="D143" s="1887"/>
      <c r="E143" s="1554" t="s">
        <v>4282</v>
      </c>
      <c r="F143" s="1887" t="s">
        <v>4281</v>
      </c>
      <c r="G143" s="1887"/>
      <c r="H143" s="1887"/>
      <c r="I143" s="1887"/>
      <c r="J143" s="1887"/>
      <c r="K143" s="1887"/>
      <c r="L143" s="1887"/>
      <c r="M143" s="1890"/>
      <c r="N143" s="1489"/>
      <c r="O143" s="1489"/>
      <c r="P143" s="1489"/>
      <c r="Q143" s="1489"/>
      <c r="R143" s="1489"/>
      <c r="S143" s="1489"/>
    </row>
    <row r="144" spans="1:19" x14ac:dyDescent="0.25">
      <c r="A144" s="1869" t="s">
        <v>4280</v>
      </c>
      <c r="B144" s="1870"/>
      <c r="C144" s="1870"/>
      <c r="D144" s="1870"/>
      <c r="E144" s="1488" t="str">
        <f>IF(N7=1,"Complete","Incomplete")</f>
        <v>Complete</v>
      </c>
      <c r="F144" s="1865" t="s">
        <v>4279</v>
      </c>
      <c r="G144" s="1865"/>
      <c r="H144" s="1865"/>
      <c r="I144" s="1865"/>
      <c r="J144" s="1865"/>
      <c r="K144" s="1865"/>
      <c r="L144" s="1865"/>
      <c r="M144" s="1866"/>
      <c r="N144" s="1489"/>
      <c r="O144" s="1489"/>
      <c r="P144" s="1489"/>
      <c r="Q144" s="1489"/>
      <c r="R144" s="1489"/>
      <c r="S144" s="1489"/>
    </row>
    <row r="145" spans="1:19" x14ac:dyDescent="0.25">
      <c r="A145" s="1869" t="s">
        <v>4278</v>
      </c>
      <c r="B145" s="1870"/>
      <c r="C145" s="1870"/>
      <c r="D145" s="1870"/>
      <c r="E145" s="1488" t="str">
        <f>IF(N11=1,"Complete","Incomplete")</f>
        <v>Complete</v>
      </c>
      <c r="F145" s="1865" t="s">
        <v>7017</v>
      </c>
      <c r="G145" s="1865"/>
      <c r="H145" s="1865"/>
      <c r="I145" s="1865"/>
      <c r="J145" s="1865"/>
      <c r="K145" s="1865"/>
      <c r="L145" s="1865"/>
      <c r="M145" s="1866"/>
      <c r="N145" s="1489"/>
      <c r="O145" s="1489"/>
      <c r="P145" s="1489"/>
      <c r="Q145" s="1489"/>
      <c r="R145" s="1489"/>
      <c r="S145" s="1489"/>
    </row>
    <row r="146" spans="1:19" x14ac:dyDescent="0.25">
      <c r="A146" s="1869" t="s">
        <v>4277</v>
      </c>
      <c r="B146" s="1870"/>
      <c r="C146" s="1870"/>
      <c r="D146" s="1870"/>
      <c r="E146" s="1488" t="str">
        <f>IF(N13=1,"Complete","Incomplete")</f>
        <v>Complete</v>
      </c>
      <c r="F146" s="1865" t="s">
        <v>4276</v>
      </c>
      <c r="G146" s="1865"/>
      <c r="H146" s="1865"/>
      <c r="I146" s="1865"/>
      <c r="J146" s="1865"/>
      <c r="K146" s="1865"/>
      <c r="L146" s="1865"/>
      <c r="M146" s="1866"/>
      <c r="N146" s="1489"/>
      <c r="O146" s="1489"/>
      <c r="P146" s="1489"/>
      <c r="Q146" s="1489"/>
      <c r="R146" s="1489"/>
      <c r="S146" s="1489"/>
    </row>
    <row r="147" spans="1:19" x14ac:dyDescent="0.25">
      <c r="A147" s="1869" t="s">
        <v>4275</v>
      </c>
      <c r="B147" s="1870"/>
      <c r="C147" s="1870"/>
      <c r="D147" s="1870"/>
      <c r="E147" s="1488" t="str">
        <f>IF(N31=1,"Complete","Incomplete")</f>
        <v>Complete</v>
      </c>
      <c r="F147" s="1865" t="s">
        <v>7224</v>
      </c>
      <c r="G147" s="1865"/>
      <c r="H147" s="1865"/>
      <c r="I147" s="1865"/>
      <c r="J147" s="1865"/>
      <c r="K147" s="1865"/>
      <c r="L147" s="1865"/>
      <c r="M147" s="1866"/>
      <c r="N147" s="1489"/>
      <c r="O147" s="1489"/>
      <c r="P147" s="1489"/>
      <c r="Q147" s="1489"/>
      <c r="R147" s="1489"/>
      <c r="S147" s="1489"/>
    </row>
    <row r="148" spans="1:19" x14ac:dyDescent="0.25">
      <c r="A148" s="1869" t="s">
        <v>4274</v>
      </c>
      <c r="B148" s="1870"/>
      <c r="C148" s="1870"/>
      <c r="D148" s="1870"/>
      <c r="E148" s="1488" t="str">
        <f>IF(N35=1,"Complete","Incomplete")</f>
        <v>Complete</v>
      </c>
      <c r="F148" s="1865" t="s">
        <v>7018</v>
      </c>
      <c r="G148" s="1865"/>
      <c r="H148" s="1865"/>
      <c r="I148" s="1865"/>
      <c r="J148" s="1865"/>
      <c r="K148" s="1865"/>
      <c r="L148" s="1865"/>
      <c r="M148" s="1866"/>
      <c r="O148" s="1489"/>
      <c r="P148" s="1489"/>
      <c r="Q148" s="1489"/>
      <c r="R148" s="1489"/>
      <c r="S148" s="1489"/>
    </row>
    <row r="149" spans="1:19" x14ac:dyDescent="0.25">
      <c r="A149" s="1869" t="s">
        <v>4273</v>
      </c>
      <c r="B149" s="1870"/>
      <c r="C149" s="1870"/>
      <c r="D149" s="1870"/>
      <c r="E149" s="1488" t="str">
        <f>IF(N37=1,"Complete","Incomplete")</f>
        <v>Complete</v>
      </c>
      <c r="F149" s="1865" t="s">
        <v>4256</v>
      </c>
      <c r="G149" s="1865"/>
      <c r="H149" s="1865"/>
      <c r="I149" s="1865"/>
      <c r="J149" s="1865"/>
      <c r="K149" s="1865"/>
      <c r="L149" s="1865"/>
      <c r="M149" s="1866"/>
      <c r="O149" s="1489"/>
      <c r="P149" s="1489"/>
      <c r="Q149" s="1489"/>
      <c r="R149" s="1489"/>
      <c r="S149" s="1489"/>
    </row>
    <row r="150" spans="1:19" x14ac:dyDescent="0.25">
      <c r="A150" s="1869" t="s">
        <v>4272</v>
      </c>
      <c r="B150" s="1870"/>
      <c r="C150" s="1870"/>
      <c r="D150" s="1870"/>
      <c r="E150" s="1488" t="str">
        <f>IF(N43=1,"Complete","Incomplete")</f>
        <v>Complete</v>
      </c>
      <c r="F150" s="1865" t="s">
        <v>4271</v>
      </c>
      <c r="G150" s="1865"/>
      <c r="H150" s="1865"/>
      <c r="I150" s="1865"/>
      <c r="J150" s="1865"/>
      <c r="K150" s="1865"/>
      <c r="L150" s="1865"/>
      <c r="M150" s="1866"/>
      <c r="O150" s="1489"/>
      <c r="P150" s="1489"/>
      <c r="Q150" s="1489"/>
      <c r="R150" s="1489"/>
      <c r="S150" s="1489"/>
    </row>
    <row r="151" spans="1:19" x14ac:dyDescent="0.25">
      <c r="A151" s="1869" t="s">
        <v>4270</v>
      </c>
      <c r="B151" s="1870"/>
      <c r="C151" s="1870"/>
      <c r="D151" s="1870"/>
      <c r="E151" s="1488" t="str">
        <f>IF(N44=1,"Complete","Incomplete")</f>
        <v>Complete</v>
      </c>
      <c r="F151" s="1865" t="s">
        <v>4269</v>
      </c>
      <c r="G151" s="1865"/>
      <c r="H151" s="1865"/>
      <c r="I151" s="1865"/>
      <c r="J151" s="1865"/>
      <c r="K151" s="1865"/>
      <c r="L151" s="1865"/>
      <c r="M151" s="1866"/>
      <c r="O151" s="1489"/>
      <c r="P151" s="1489"/>
      <c r="Q151" s="1489"/>
      <c r="R151" s="1489"/>
      <c r="S151" s="1489"/>
    </row>
    <row r="152" spans="1:19" x14ac:dyDescent="0.25">
      <c r="A152" s="1869" t="s">
        <v>4268</v>
      </c>
      <c r="B152" s="1870"/>
      <c r="C152" s="1870"/>
      <c r="D152" s="1870"/>
      <c r="E152" s="1488" t="str">
        <f>IF(N90=1,"Complete","Incomplete")</f>
        <v>Complete</v>
      </c>
      <c r="F152" s="1865" t="s">
        <v>4267</v>
      </c>
      <c r="G152" s="1865"/>
      <c r="H152" s="1865"/>
      <c r="I152" s="1865"/>
      <c r="J152" s="1865"/>
      <c r="K152" s="1865"/>
      <c r="L152" s="1865"/>
      <c r="M152" s="1866"/>
      <c r="O152" s="1489"/>
      <c r="P152" s="1489"/>
      <c r="Q152" s="1489"/>
      <c r="R152" s="1489"/>
      <c r="S152" s="1489"/>
    </row>
    <row r="153" spans="1:19" x14ac:dyDescent="0.25">
      <c r="A153" s="1869" t="s">
        <v>4266</v>
      </c>
      <c r="B153" s="1870"/>
      <c r="C153" s="1870"/>
      <c r="D153" s="1870"/>
      <c r="E153" s="1488" t="str">
        <f>IF(N93=1,"Complete","Incomplete")</f>
        <v>Complete</v>
      </c>
      <c r="F153" s="1865" t="s">
        <v>4265</v>
      </c>
      <c r="G153" s="1865"/>
      <c r="H153" s="1865"/>
      <c r="I153" s="1865"/>
      <c r="J153" s="1865"/>
      <c r="K153" s="1865"/>
      <c r="L153" s="1865"/>
      <c r="M153" s="1866"/>
    </row>
    <row r="154" spans="1:19" x14ac:dyDescent="0.25">
      <c r="A154" s="1871" t="s">
        <v>4264</v>
      </c>
      <c r="B154" s="1872"/>
      <c r="C154" s="1872"/>
      <c r="D154" s="1873"/>
      <c r="E154" s="1488" t="str">
        <f>IF(N100=1,"Complete","Incomplete")</f>
        <v>Complete</v>
      </c>
      <c r="F154" s="1865" t="s">
        <v>7011</v>
      </c>
      <c r="G154" s="1865"/>
      <c r="H154" s="1865"/>
      <c r="I154" s="1865"/>
      <c r="J154" s="1865"/>
      <c r="K154" s="1865"/>
      <c r="L154" s="1865"/>
      <c r="M154" s="1866"/>
    </row>
    <row r="155" spans="1:19" x14ac:dyDescent="0.25">
      <c r="A155" s="1871" t="s">
        <v>4263</v>
      </c>
      <c r="B155" s="1872"/>
      <c r="C155" s="1872"/>
      <c r="D155" s="1873"/>
      <c r="E155" s="1488" t="str">
        <f>IF(N101=1,"Complete","Incomplete")</f>
        <v>Complete</v>
      </c>
      <c r="F155" s="1865" t="s">
        <v>7012</v>
      </c>
      <c r="G155" s="1865"/>
      <c r="H155" s="1865"/>
      <c r="I155" s="1865"/>
      <c r="J155" s="1865"/>
      <c r="K155" s="1865"/>
      <c r="L155" s="1865"/>
      <c r="M155" s="1866"/>
    </row>
    <row r="156" spans="1:19" x14ac:dyDescent="0.25">
      <c r="A156" s="1871" t="s">
        <v>4262</v>
      </c>
      <c r="B156" s="1872"/>
      <c r="C156" s="1872"/>
      <c r="D156" s="1873"/>
      <c r="E156" s="1488" t="str">
        <f>IF(N102=1,"Complete","Incomplete")</f>
        <v>Complete</v>
      </c>
      <c r="F156" s="1865" t="s">
        <v>7013</v>
      </c>
      <c r="G156" s="1865"/>
      <c r="H156" s="1865"/>
      <c r="I156" s="1865"/>
      <c r="J156" s="1865"/>
      <c r="K156" s="1865"/>
      <c r="L156" s="1865"/>
      <c r="M156" s="1866"/>
    </row>
    <row r="157" spans="1:19" x14ac:dyDescent="0.25">
      <c r="A157" s="1869" t="s">
        <v>4261</v>
      </c>
      <c r="B157" s="1870"/>
      <c r="C157" s="1870"/>
      <c r="D157" s="1870"/>
      <c r="E157" s="1488" t="str">
        <f>IF(N104=1,"Complete","Incomplete")</f>
        <v>Complete</v>
      </c>
      <c r="F157" s="1865" t="s">
        <v>4256</v>
      </c>
      <c r="G157" s="1865"/>
      <c r="H157" s="1865"/>
      <c r="I157" s="1865"/>
      <c r="J157" s="1865"/>
      <c r="K157" s="1865"/>
      <c r="L157" s="1865"/>
      <c r="M157" s="1866"/>
    </row>
    <row r="158" spans="1:19" x14ac:dyDescent="0.25">
      <c r="A158" s="1869" t="s">
        <v>4260</v>
      </c>
      <c r="B158" s="1870"/>
      <c r="C158" s="1870"/>
      <c r="D158" s="1870"/>
      <c r="E158" s="1488" t="str">
        <f>IF(N108=1,"Complete","Incomplete")</f>
        <v>Complete</v>
      </c>
      <c r="F158" s="1865" t="s">
        <v>4254</v>
      </c>
      <c r="G158" s="1865"/>
      <c r="H158" s="1865"/>
      <c r="I158" s="1865"/>
      <c r="J158" s="1865"/>
      <c r="K158" s="1865"/>
      <c r="L158" s="1865"/>
      <c r="M158" s="1866"/>
    </row>
    <row r="159" spans="1:19" x14ac:dyDescent="0.25">
      <c r="A159" s="1869" t="s">
        <v>4259</v>
      </c>
      <c r="B159" s="1870"/>
      <c r="C159" s="1870"/>
      <c r="D159" s="1870"/>
      <c r="E159" s="1488" t="str">
        <f>IF(N111=1,"Complete","Incomplete")</f>
        <v>Complete</v>
      </c>
      <c r="F159" s="1865" t="s">
        <v>4256</v>
      </c>
      <c r="G159" s="1865"/>
      <c r="H159" s="1865"/>
      <c r="I159" s="1865"/>
      <c r="J159" s="1865"/>
      <c r="K159" s="1865"/>
      <c r="L159" s="1865"/>
      <c r="M159" s="1866"/>
    </row>
    <row r="160" spans="1:19" x14ac:dyDescent="0.25">
      <c r="A160" s="1869" t="s">
        <v>4258</v>
      </c>
      <c r="B160" s="1870"/>
      <c r="C160" s="1870"/>
      <c r="D160" s="1870"/>
      <c r="E160" s="1488" t="str">
        <f>IF(N115=1,"Complete","Incomplete")</f>
        <v>Complete</v>
      </c>
      <c r="F160" s="1865" t="s">
        <v>4254</v>
      </c>
      <c r="G160" s="1865"/>
      <c r="H160" s="1865"/>
      <c r="I160" s="1865"/>
      <c r="J160" s="1865"/>
      <c r="K160" s="1865"/>
      <c r="L160" s="1865"/>
      <c r="M160" s="1866"/>
    </row>
    <row r="161" spans="1:13" x14ac:dyDescent="0.25">
      <c r="A161" s="1869" t="s">
        <v>4257</v>
      </c>
      <c r="B161" s="1870"/>
      <c r="C161" s="1870"/>
      <c r="D161" s="1870"/>
      <c r="E161" s="1488" t="str">
        <f>IF(N118=1,"Complete","Incomplete")</f>
        <v>Complete</v>
      </c>
      <c r="F161" s="1865" t="s">
        <v>4256</v>
      </c>
      <c r="G161" s="1865"/>
      <c r="H161" s="1865"/>
      <c r="I161" s="1865"/>
      <c r="J161" s="1865"/>
      <c r="K161" s="1865"/>
      <c r="L161" s="1865"/>
      <c r="M161" s="1866"/>
    </row>
    <row r="162" spans="1:13" x14ac:dyDescent="0.25">
      <c r="A162" s="1869" t="s">
        <v>4255</v>
      </c>
      <c r="B162" s="1870"/>
      <c r="C162" s="1870"/>
      <c r="D162" s="1870"/>
      <c r="E162" s="1488" t="str">
        <f>IF(N122=1,"Complete","Incomplete")</f>
        <v>Complete</v>
      </c>
      <c r="F162" s="1865" t="s">
        <v>4254</v>
      </c>
      <c r="G162" s="1865"/>
      <c r="H162" s="1865"/>
      <c r="I162" s="1865"/>
      <c r="J162" s="1865"/>
      <c r="K162" s="1865"/>
      <c r="L162" s="1865"/>
      <c r="M162" s="1866"/>
    </row>
    <row r="163" spans="1:13" x14ac:dyDescent="0.25">
      <c r="A163" s="1869" t="s">
        <v>4253</v>
      </c>
      <c r="B163" s="1870"/>
      <c r="C163" s="1870"/>
      <c r="D163" s="1870"/>
      <c r="E163" s="1488" t="str">
        <f>IF(N130=1,"Complete","Incomplete")</f>
        <v>Complete</v>
      </c>
      <c r="F163" s="1865" t="s">
        <v>7014</v>
      </c>
      <c r="G163" s="1865"/>
      <c r="H163" s="1865"/>
      <c r="I163" s="1865"/>
      <c r="J163" s="1865"/>
      <c r="K163" s="1865"/>
      <c r="L163" s="1865"/>
      <c r="M163" s="1866"/>
    </row>
    <row r="164" spans="1:13" x14ac:dyDescent="0.25">
      <c r="A164" s="1869" t="s">
        <v>4252</v>
      </c>
      <c r="B164" s="1870"/>
      <c r="C164" s="1870"/>
      <c r="D164" s="1870"/>
      <c r="E164" s="1488" t="str">
        <f>IF(N133=1,"Complete","Incomplete")</f>
        <v>Complete</v>
      </c>
      <c r="F164" s="1865" t="s">
        <v>7014</v>
      </c>
      <c r="G164" s="1865"/>
      <c r="H164" s="1865"/>
      <c r="I164" s="1865"/>
      <c r="J164" s="1865"/>
      <c r="K164" s="1865"/>
      <c r="L164" s="1865"/>
      <c r="M164" s="1866"/>
    </row>
    <row r="165" spans="1:13" x14ac:dyDescent="0.25">
      <c r="A165" s="1869" t="s">
        <v>4251</v>
      </c>
      <c r="B165" s="1870"/>
      <c r="C165" s="1870"/>
      <c r="D165" s="1870"/>
      <c r="E165" s="1488" t="str">
        <f>IF(N135=1,"Complete","Incomplete")</f>
        <v>Complete</v>
      </c>
      <c r="F165" s="1865" t="s">
        <v>7015</v>
      </c>
      <c r="G165" s="1865"/>
      <c r="H165" s="1865"/>
      <c r="I165" s="1865"/>
      <c r="J165" s="1865"/>
      <c r="K165" s="1865"/>
      <c r="L165" s="1865"/>
      <c r="M165" s="1866"/>
    </row>
    <row r="166" spans="1:13" x14ac:dyDescent="0.25">
      <c r="A166" s="1869" t="s">
        <v>4250</v>
      </c>
      <c r="B166" s="1870"/>
      <c r="C166" s="1870"/>
      <c r="D166" s="1870"/>
      <c r="E166" s="1488" t="str">
        <f>IF(N137=1,"Complete","Incomplete")</f>
        <v>Complete</v>
      </c>
      <c r="F166" s="1865" t="s">
        <v>7016</v>
      </c>
      <c r="G166" s="1865"/>
      <c r="H166" s="1865"/>
      <c r="I166" s="1865"/>
      <c r="J166" s="1865"/>
      <c r="K166" s="1865"/>
      <c r="L166" s="1865"/>
      <c r="M166" s="1866"/>
    </row>
    <row r="167" spans="1:13" ht="15.75" thickBot="1" x14ac:dyDescent="0.3">
      <c r="A167" s="2110" t="s">
        <v>7225</v>
      </c>
      <c r="B167" s="2111"/>
      <c r="C167" s="2111"/>
      <c r="D167" s="2111"/>
      <c r="E167" s="1487" t="str">
        <f>IF(N138=1,"Complete","Incomplete")</f>
        <v>Complete</v>
      </c>
      <c r="F167" s="1888" t="s">
        <v>7015</v>
      </c>
      <c r="G167" s="1888"/>
      <c r="H167" s="1888"/>
      <c r="I167" s="1888"/>
      <c r="J167" s="1888"/>
      <c r="K167" s="1888"/>
      <c r="L167" s="1888"/>
      <c r="M167" s="1889"/>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formula1>$S$2:$S$16</formula1>
    </dataValidation>
    <dataValidation type="date" allowBlank="1" showInputMessage="1" showErrorMessage="1" errorTitle="Enter Date" error="Date must be entered in MM/DD/YYYY format. " promptTitle="Enter Date MM/DD/YYYY" prompt="Enter Date MM/DD/YYYY" sqref="F137:G137">
      <formula1>44927</formula1>
      <formula2>45292</formula2>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0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zoomScaleNormal="100" zoomScaleSheetLayoutView="80" workbookViewId="0">
      <selection sqref="A1:K1"/>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20" t="s">
        <v>791</v>
      </c>
      <c r="B1" s="2121"/>
      <c r="C1" s="2121"/>
      <c r="D1" s="2121"/>
      <c r="E1" s="2121"/>
      <c r="F1" s="2121"/>
      <c r="G1" s="2121"/>
      <c r="H1" s="2121"/>
      <c r="I1" s="2121"/>
      <c r="J1" s="2121"/>
      <c r="K1" s="2121"/>
      <c r="L1" s="1643"/>
      <c r="M1" s="1325"/>
      <c r="N1" s="1325"/>
    </row>
    <row r="2" spans="1:14" x14ac:dyDescent="0.25">
      <c r="A2" s="2122" t="s">
        <v>420</v>
      </c>
      <c r="B2" s="2123"/>
      <c r="C2" s="2123"/>
      <c r="D2" s="2123"/>
      <c r="E2" s="2123"/>
      <c r="F2" s="2123"/>
      <c r="G2" s="2123"/>
      <c r="H2" s="2123"/>
      <c r="I2" s="2123"/>
      <c r="J2" s="2123"/>
      <c r="K2" s="2123"/>
      <c r="L2" s="1644"/>
      <c r="M2" s="1325"/>
      <c r="N2" s="1325"/>
    </row>
    <row r="3" spans="1:14" x14ac:dyDescent="0.25">
      <c r="A3" s="1339" t="s">
        <v>804</v>
      </c>
      <c r="B3" s="1325"/>
      <c r="C3" s="1325"/>
      <c r="D3" s="1325"/>
      <c r="E3" s="1325"/>
      <c r="F3" s="1325"/>
      <c r="G3" s="1351"/>
      <c r="H3" s="1325"/>
      <c r="I3" s="1325"/>
      <c r="J3" s="1325"/>
      <c r="K3" s="1325"/>
      <c r="L3" s="1644"/>
      <c r="M3" s="1325"/>
      <c r="N3" s="1325"/>
    </row>
    <row r="4" spans="1:14" x14ac:dyDescent="0.25">
      <c r="A4" s="1340"/>
      <c r="B4" s="1325"/>
      <c r="C4" s="1325"/>
      <c r="D4" s="1325"/>
      <c r="E4" s="1325"/>
      <c r="F4" s="1325"/>
      <c r="G4" s="1351"/>
      <c r="H4" s="1325"/>
      <c r="I4" s="1325"/>
      <c r="J4" s="1325"/>
      <c r="K4" s="1325"/>
      <c r="L4" s="1644"/>
      <c r="M4" s="1325"/>
      <c r="N4" s="1325"/>
    </row>
    <row r="5" spans="1:14" ht="13.5" customHeight="1" x14ac:dyDescent="0.25">
      <c r="A5" s="2116" t="str">
        <f>"The worksheet is intended for use during the budgeting process to estimate the district's percent increase of FY"&amp;'B24'!L2</f>
        <v>The worksheet is intended for use during the budgeting process to estimate the district's percent increase of FY2024</v>
      </c>
      <c r="B5" s="2117"/>
      <c r="C5" s="2117"/>
      <c r="D5" s="2117"/>
      <c r="E5" s="2117"/>
      <c r="F5" s="2117"/>
      <c r="G5" s="2117"/>
      <c r="H5" s="2117" t="str">
        <f>"budgeted expenditures over actual FY"&amp;'B24'!L2-1</f>
        <v>budgeted expenditures over actual FY2023</v>
      </c>
      <c r="I5" s="2117"/>
      <c r="J5" s="2117"/>
      <c r="K5" s="1636" t="s">
        <v>1923</v>
      </c>
      <c r="L5" s="1645"/>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5"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6" t="s">
        <v>424</v>
      </c>
      <c r="B11" s="1637"/>
      <c r="C11" s="1637"/>
      <c r="D11" s="1637"/>
      <c r="E11" s="1637"/>
      <c r="F11" s="1351"/>
      <c r="G11" s="1351"/>
      <c r="H11" s="1325"/>
      <c r="I11" s="1350" t="s">
        <v>230</v>
      </c>
      <c r="J11" s="2125" t="str">
        <f>Cover!H13</f>
        <v>Grant Park CUSD 6</v>
      </c>
      <c r="K11" s="2125"/>
      <c r="L11" s="2126"/>
      <c r="M11" s="1325"/>
      <c r="N11" s="1325"/>
    </row>
    <row r="12" spans="1:14" x14ac:dyDescent="0.25">
      <c r="A12" s="2127" t="s">
        <v>231</v>
      </c>
      <c r="B12" s="2128"/>
      <c r="C12" s="2128"/>
      <c r="D12" s="2128"/>
      <c r="E12" s="2128"/>
      <c r="F12" s="1325"/>
      <c r="G12" s="1325"/>
      <c r="H12" s="1325"/>
      <c r="I12" s="1350" t="s">
        <v>305</v>
      </c>
      <c r="J12" s="2129" t="str">
        <f>Cover!H14</f>
        <v>32046006026</v>
      </c>
      <c r="K12" s="2129"/>
      <c r="L12" s="2130"/>
      <c r="M12" s="1325"/>
      <c r="N12" s="1325"/>
    </row>
    <row r="13" spans="1:14" x14ac:dyDescent="0.25">
      <c r="A13" s="1647"/>
      <c r="B13" s="1638"/>
      <c r="C13" s="1638"/>
      <c r="D13" s="1638"/>
      <c r="E13" s="1638"/>
      <c r="F13" s="1325"/>
      <c r="G13" s="1325"/>
      <c r="H13" s="1325"/>
      <c r="I13" s="1325"/>
      <c r="J13" s="1325"/>
      <c r="K13" s="1325"/>
      <c r="L13" s="1326"/>
      <c r="M13" s="1325"/>
      <c r="N13" s="1325"/>
    </row>
    <row r="14" spans="1:14" x14ac:dyDescent="0.2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25">
      <c r="A15" s="1329"/>
      <c r="B15" s="1325"/>
      <c r="C15" s="1351"/>
      <c r="D15" s="1325"/>
      <c r="E15" s="1661" t="s">
        <v>232</v>
      </c>
      <c r="F15" s="1661" t="s">
        <v>233</v>
      </c>
      <c r="G15" s="1662" t="s">
        <v>433</v>
      </c>
      <c r="H15" s="1654"/>
      <c r="I15" s="1661" t="s">
        <v>232</v>
      </c>
      <c r="J15" s="1661" t="s">
        <v>233</v>
      </c>
      <c r="K15" s="1662" t="s">
        <v>433</v>
      </c>
      <c r="L15" s="1668"/>
      <c r="M15" s="1325"/>
      <c r="N15" s="1325"/>
    </row>
    <row r="16" spans="1:14" ht="38.25" x14ac:dyDescent="0.25">
      <c r="A16" s="2131" t="s">
        <v>134</v>
      </c>
      <c r="B16" s="2132"/>
      <c r="C16" s="2132"/>
      <c r="D16" s="1663" t="s">
        <v>800</v>
      </c>
      <c r="E16" s="1663" t="s">
        <v>465</v>
      </c>
      <c r="F16" s="1663" t="s">
        <v>466</v>
      </c>
      <c r="G16" s="1664" t="s">
        <v>799</v>
      </c>
      <c r="H16" s="1661" t="s">
        <v>235</v>
      </c>
      <c r="I16" s="1663" t="s">
        <v>465</v>
      </c>
      <c r="J16" s="1663" t="s">
        <v>466</v>
      </c>
      <c r="K16" s="1664" t="s">
        <v>799</v>
      </c>
      <c r="L16" s="1668" t="s">
        <v>235</v>
      </c>
      <c r="M16" s="1325"/>
      <c r="N16" s="1325"/>
    </row>
    <row r="17" spans="1:14" x14ac:dyDescent="0.25">
      <c r="A17" s="1669">
        <v>1</v>
      </c>
      <c r="B17" s="1653" t="s">
        <v>294</v>
      </c>
      <c r="C17" s="1653"/>
      <c r="D17" s="1654">
        <v>2320</v>
      </c>
      <c r="E17" s="1655">
        <v>246355</v>
      </c>
      <c r="F17" s="1656"/>
      <c r="G17" s="1655"/>
      <c r="H17" s="1657">
        <f t="shared" ref="H17:H23" si="0">SUM(E17:G17)</f>
        <v>246355</v>
      </c>
      <c r="I17" s="1657">
        <f>'EstExp 12-20'!K52</f>
        <v>247900</v>
      </c>
      <c r="J17" s="1656"/>
      <c r="K17" s="1657">
        <f>'EstExp 12-20'!K361</f>
        <v>0</v>
      </c>
      <c r="L17" s="1670">
        <f t="shared" ref="L17:L23" si="1">SUM(I17:K17)</f>
        <v>247900</v>
      </c>
      <c r="M17" s="1325"/>
      <c r="N17" s="1325"/>
    </row>
    <row r="18" spans="1:14" x14ac:dyDescent="0.25">
      <c r="A18" s="1669">
        <v>2</v>
      </c>
      <c r="B18" s="1653" t="s">
        <v>507</v>
      </c>
      <c r="C18" s="1653"/>
      <c r="D18" s="1654">
        <v>2330</v>
      </c>
      <c r="E18" s="1655"/>
      <c r="F18" s="1656"/>
      <c r="G18" s="1655"/>
      <c r="H18" s="1657">
        <f t="shared" si="0"/>
        <v>0</v>
      </c>
      <c r="I18" s="1657">
        <f>'EstExp 12-20'!K53</f>
        <v>0</v>
      </c>
      <c r="J18" s="1656"/>
      <c r="K18" s="1657">
        <f>'EstExp 12-20'!K362</f>
        <v>0</v>
      </c>
      <c r="L18" s="1670">
        <f t="shared" si="1"/>
        <v>0</v>
      </c>
      <c r="M18" s="1325"/>
      <c r="N18" s="1325"/>
    </row>
    <row r="19" spans="1:14" x14ac:dyDescent="0.25">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x14ac:dyDescent="0.25">
      <c r="A20" s="1669">
        <v>4</v>
      </c>
      <c r="B20" s="1653" t="s">
        <v>361</v>
      </c>
      <c r="C20" s="1653"/>
      <c r="D20" s="1654">
        <v>2510</v>
      </c>
      <c r="E20" s="1655"/>
      <c r="F20" s="1655"/>
      <c r="G20" s="1655"/>
      <c r="H20" s="1657">
        <f t="shared" si="0"/>
        <v>0</v>
      </c>
      <c r="I20" s="1657">
        <f>'EstExp 12-20'!K61</f>
        <v>0</v>
      </c>
      <c r="J20" s="1657">
        <f>'EstExp 12-20'!K126</f>
        <v>0</v>
      </c>
      <c r="K20" s="1657">
        <f>'EstExp 12-20'!K371</f>
        <v>0</v>
      </c>
      <c r="L20" s="1670">
        <f t="shared" si="1"/>
        <v>0</v>
      </c>
      <c r="M20" s="1325"/>
      <c r="N20" s="1325"/>
    </row>
    <row r="21" spans="1:14" x14ac:dyDescent="0.25">
      <c r="A21" s="1669">
        <v>5</v>
      </c>
      <c r="B21" s="1653" t="s">
        <v>366</v>
      </c>
      <c r="C21" s="1653"/>
      <c r="D21" s="1654">
        <v>2570</v>
      </c>
      <c r="E21" s="1655"/>
      <c r="F21" s="1656"/>
      <c r="G21" s="1655"/>
      <c r="H21" s="1657">
        <f t="shared" si="0"/>
        <v>0</v>
      </c>
      <c r="I21" s="1657">
        <f>'EstExp 12-20'!K66</f>
        <v>0</v>
      </c>
      <c r="J21" s="1656"/>
      <c r="K21" s="1657">
        <f>'EstExp 12-20'!K377</f>
        <v>0</v>
      </c>
      <c r="L21" s="1670">
        <f t="shared" si="1"/>
        <v>0</v>
      </c>
      <c r="M21" s="1325"/>
      <c r="N21" s="1325"/>
    </row>
    <row r="22" spans="1:14" x14ac:dyDescent="0.2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25">
      <c r="A23" s="1671">
        <v>7</v>
      </c>
      <c r="B23" s="2133" t="s">
        <v>801</v>
      </c>
      <c r="C23" s="2133"/>
      <c r="D23" s="2133"/>
      <c r="E23" s="1655"/>
      <c r="F23" s="1655"/>
      <c r="G23" s="1655"/>
      <c r="H23" s="1657">
        <f t="shared" si="0"/>
        <v>0</v>
      </c>
      <c r="I23" s="1655"/>
      <c r="J23" s="1655"/>
      <c r="K23" s="1655"/>
      <c r="L23" s="1670">
        <f t="shared" si="1"/>
        <v>0</v>
      </c>
      <c r="M23" s="1325"/>
      <c r="N23" s="1325"/>
    </row>
    <row r="24" spans="1:14" x14ac:dyDescent="0.25">
      <c r="A24" s="1674">
        <v>8</v>
      </c>
      <c r="B24" s="1676" t="s">
        <v>238</v>
      </c>
      <c r="C24" s="1677"/>
      <c r="D24" s="1678"/>
      <c r="E24" s="1675">
        <f t="shared" ref="E24:L24" si="2">SUM(E17:E22)-E23</f>
        <v>246355</v>
      </c>
      <c r="F24" s="1665">
        <f t="shared" si="2"/>
        <v>0</v>
      </c>
      <c r="G24" s="1665">
        <f t="shared" ref="G24" si="3">SUM(G17:G22)-G23</f>
        <v>0</v>
      </c>
      <c r="H24" s="1665">
        <f t="shared" si="2"/>
        <v>246355</v>
      </c>
      <c r="I24" s="1665">
        <f t="shared" si="2"/>
        <v>247900</v>
      </c>
      <c r="J24" s="1665">
        <f t="shared" si="2"/>
        <v>0</v>
      </c>
      <c r="K24" s="1665">
        <f t="shared" si="2"/>
        <v>0</v>
      </c>
      <c r="L24" s="1672">
        <f t="shared" si="2"/>
        <v>247900</v>
      </c>
      <c r="M24" s="1325"/>
      <c r="N24" s="1325"/>
    </row>
    <row r="25" spans="1:14" ht="13.5" customHeight="1" x14ac:dyDescent="0.25">
      <c r="A25" s="1673">
        <v>9</v>
      </c>
      <c r="B25" s="2115" t="str">
        <f>"Estimated Percent Increase (Decrease) for FY"&amp;'B24'!L2</f>
        <v>Estimated Percent Increase (Decrease) for FY2024</v>
      </c>
      <c r="C25" s="2115"/>
      <c r="D25" s="1639"/>
      <c r="E25" s="1666"/>
      <c r="F25" s="1666"/>
      <c r="G25" s="1666"/>
      <c r="H25" s="1666"/>
      <c r="I25" s="1666"/>
      <c r="J25" s="1666"/>
      <c r="K25" s="1666"/>
      <c r="L25" s="2112">
        <f>IF(AND(H24&gt;0,L24&gt;0),(((L24-H24)/H24)),"Enter Actual Data")</f>
        <v>6.2714375596192489E-3</v>
      </c>
      <c r="M25" s="1325"/>
      <c r="N25" s="1325"/>
    </row>
    <row r="26" spans="1:14" ht="15.75" thickBot="1" x14ac:dyDescent="0.3">
      <c r="A26" s="1648"/>
      <c r="B26" s="2118" t="str">
        <f>"(Budgeted) over (Actual) FY "&amp;'B24'!L2-"1"</f>
        <v>(Budgeted) over (Actual) FY 2023</v>
      </c>
      <c r="C26" s="2118"/>
      <c r="D26" s="1649"/>
      <c r="E26" s="1650"/>
      <c r="F26" s="1650"/>
      <c r="G26" s="1650"/>
      <c r="H26" s="1650"/>
      <c r="I26" s="1650"/>
      <c r="J26" s="1650"/>
      <c r="K26" s="1650"/>
      <c r="L26" s="2113"/>
      <c r="M26" s="1325"/>
      <c r="N26" s="1325"/>
    </row>
    <row r="27" spans="1:14" x14ac:dyDescent="0.25">
      <c r="A27" s="1640"/>
      <c r="B27" s="1328"/>
      <c r="C27" s="1325"/>
      <c r="D27" s="1325"/>
      <c r="E27" s="1325"/>
      <c r="F27" s="1325"/>
      <c r="G27" s="1325"/>
      <c r="H27" s="1325"/>
      <c r="I27" s="1325"/>
      <c r="J27" s="1325"/>
      <c r="K27" s="1325"/>
      <c r="L27" s="1325"/>
      <c r="M27" s="1325"/>
      <c r="N27" s="1325"/>
    </row>
    <row r="28" spans="1:14" x14ac:dyDescent="0.25">
      <c r="A28" s="1640"/>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1"/>
      <c r="B31" s="1328"/>
      <c r="C31" s="1325"/>
      <c r="D31" s="1325"/>
      <c r="E31" s="1325"/>
      <c r="F31" s="1325"/>
      <c r="G31" s="1325"/>
      <c r="H31" s="1325"/>
      <c r="I31" s="1325"/>
      <c r="J31" s="1325"/>
      <c r="K31" s="1325"/>
      <c r="L31" s="1325"/>
      <c r="M31" s="1325"/>
      <c r="N31" s="1325"/>
    </row>
    <row r="32" spans="1:14" x14ac:dyDescent="0.25">
      <c r="A32" s="1325"/>
      <c r="B32" s="1328"/>
      <c r="C32" s="2134"/>
      <c r="D32" s="2134"/>
      <c r="E32" s="1633"/>
      <c r="F32" s="2135"/>
      <c r="G32" s="2135"/>
      <c r="H32" s="2135"/>
      <c r="I32" s="1325"/>
      <c r="J32" s="1325"/>
      <c r="K32" s="1325"/>
      <c r="L32" s="1325"/>
      <c r="M32" s="1325"/>
      <c r="N32" s="1325"/>
    </row>
    <row r="33" spans="1:14" x14ac:dyDescent="0.25">
      <c r="A33" s="1325"/>
      <c r="B33" s="1328"/>
      <c r="C33" s="1330"/>
      <c r="D33" s="1325"/>
      <c r="E33" s="1331"/>
      <c r="F33" s="2136"/>
      <c r="G33" s="2136"/>
      <c r="H33" s="2136"/>
      <c r="I33" s="1325"/>
      <c r="J33" s="1325"/>
      <c r="K33" s="1325"/>
      <c r="L33" s="1325"/>
      <c r="M33" s="1325"/>
      <c r="N33" s="1325"/>
    </row>
    <row r="34" spans="1:14" x14ac:dyDescent="0.25">
      <c r="A34" s="1325"/>
      <c r="B34" s="1328"/>
      <c r="C34" s="2114"/>
      <c r="D34" s="2114"/>
      <c r="E34" s="1332"/>
      <c r="F34" s="2114"/>
      <c r="G34" s="2114"/>
      <c r="H34" s="2114"/>
      <c r="I34" s="1325"/>
      <c r="J34" s="1325"/>
      <c r="K34" s="1325"/>
      <c r="L34" s="1325"/>
      <c r="M34" s="1325"/>
      <c r="N34" s="1325"/>
    </row>
    <row r="35" spans="1:14" x14ac:dyDescent="0.25">
      <c r="A35" s="1325"/>
      <c r="B35" s="1328"/>
      <c r="C35" s="1632"/>
      <c r="D35" s="1325"/>
      <c r="E35" s="1333"/>
      <c r="F35" s="2124"/>
      <c r="G35" s="2124"/>
      <c r="H35" s="2124"/>
      <c r="I35" s="1325"/>
      <c r="J35" s="1325"/>
      <c r="K35" s="1325"/>
      <c r="L35" s="1325"/>
      <c r="M35" s="1325"/>
      <c r="N35" s="1325"/>
    </row>
    <row r="36" spans="1:14" x14ac:dyDescent="0.25">
      <c r="A36" s="1325"/>
      <c r="B36" s="1328"/>
      <c r="C36" s="1334"/>
      <c r="D36" s="1325"/>
      <c r="E36" s="1335"/>
      <c r="F36" s="1634"/>
      <c r="G36" s="1634"/>
      <c r="H36" s="1634"/>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19"/>
      <c r="D39" s="2119"/>
      <c r="E39" s="2119"/>
      <c r="F39" s="2119"/>
      <c r="G39" s="2119"/>
      <c r="H39" s="2119"/>
      <c r="I39" s="2119"/>
      <c r="J39" s="2119"/>
      <c r="K39" s="1631"/>
      <c r="L39" s="1325"/>
      <c r="M39" s="1325"/>
      <c r="N39" s="1325"/>
    </row>
    <row r="40" spans="1:14" x14ac:dyDescent="0.25">
      <c r="A40" s="1325"/>
      <c r="B40" s="1325"/>
      <c r="C40" s="2119"/>
      <c r="D40" s="2119"/>
      <c r="E40" s="2119"/>
      <c r="F40" s="2119"/>
      <c r="G40" s="2119"/>
      <c r="H40" s="2119"/>
      <c r="I40" s="2119"/>
      <c r="J40" s="2119"/>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sqref="A1:F1"/>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40" t="s">
        <v>792</v>
      </c>
      <c r="B1" s="2141"/>
      <c r="C1" s="2141"/>
      <c r="D1" s="2141"/>
      <c r="E1" s="2141"/>
      <c r="F1" s="2142"/>
    </row>
    <row r="2" spans="1:7" ht="51" customHeight="1" x14ac:dyDescent="0.2">
      <c r="A2" s="2137" t="s">
        <v>701</v>
      </c>
      <c r="B2" s="2138"/>
      <c r="C2" s="2138"/>
      <c r="D2" s="2138"/>
      <c r="E2" s="2138"/>
      <c r="F2" s="2139"/>
    </row>
    <row r="3" spans="1:7" x14ac:dyDescent="0.2">
      <c r="A3" s="1356" t="s">
        <v>45</v>
      </c>
      <c r="B3" s="1291"/>
      <c r="C3" s="1291"/>
      <c r="D3" s="1291"/>
      <c r="E3" s="1291"/>
      <c r="F3" s="763"/>
    </row>
    <row r="4" spans="1:7" ht="27.75" customHeight="1" x14ac:dyDescent="0.2">
      <c r="A4" s="2143"/>
      <c r="B4" s="2143"/>
      <c r="C4" s="2143"/>
      <c r="D4" s="2143"/>
      <c r="E4" s="2143"/>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2" type="noConversion"/>
  <hyperlinks>
    <hyperlink ref="A3" r:id="rId1" display="School Code, Section 10-20.21 - Contracts"/>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2"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zoomScale="110" zoomScaleNormal="110" workbookViewId="0">
      <selection sqref="A1:C1"/>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9" t="s">
        <v>422</v>
      </c>
      <c r="B1" s="2150"/>
      <c r="C1" s="2151"/>
    </row>
    <row r="2" spans="1:11" x14ac:dyDescent="0.2">
      <c r="A2" s="2152" t="s">
        <v>421</v>
      </c>
      <c r="B2" s="2153"/>
      <c r="C2" s="2154"/>
    </row>
    <row r="3" spans="1:11" ht="25.5" customHeight="1" thickBot="1" x14ac:dyDescent="0.25">
      <c r="A3" s="2152" t="s">
        <v>2138</v>
      </c>
      <c r="B3" s="2153"/>
      <c r="C3" s="2154"/>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4" t="s">
        <v>7234</v>
      </c>
      <c r="J7" s="2145"/>
      <c r="K7" s="2146"/>
    </row>
    <row r="8" spans="1:11" x14ac:dyDescent="0.2">
      <c r="A8" s="523">
        <v>2</v>
      </c>
      <c r="B8" s="524" t="s">
        <v>816</v>
      </c>
      <c r="C8" s="525"/>
      <c r="F8" s="613"/>
      <c r="G8" s="613"/>
      <c r="I8" s="1681" t="s">
        <v>1624</v>
      </c>
      <c r="J8" s="1682" t="str">
        <f>IF(ChosenDistrict="","",Cover!H14)</f>
        <v>32046006026</v>
      </c>
      <c r="K8" s="1683" t="s">
        <v>7233</v>
      </c>
    </row>
    <row r="9" spans="1:11" ht="14.25" customHeight="1" x14ac:dyDescent="0.2">
      <c r="A9" s="526"/>
      <c r="B9" s="1467" t="s">
        <v>3251</v>
      </c>
      <c r="C9" s="530" t="str">
        <f>IF(ChosenDistrict="","ERROR -Choose district from drop-down list.","OK")</f>
        <v>OK</v>
      </c>
      <c r="F9" s="613" t="str">
        <f>C9</f>
        <v>OK</v>
      </c>
      <c r="G9" s="613"/>
      <c r="I9" s="1681" t="s">
        <v>7230</v>
      </c>
      <c r="J9" s="1682">
        <f>IF('EBF Spending Plan 30-34'!G31="[Enter $]","",'EBF Spending Plan 30-34'!G31)</f>
        <v>833212</v>
      </c>
      <c r="K9" s="1683" t="str">
        <f>IF('EBF Spending Plan 30-34'!H31="","",'EBF Spending Plan 30-34'!H31)</f>
        <v>Estimated</v>
      </c>
    </row>
    <row r="10" spans="1:11" x14ac:dyDescent="0.2">
      <c r="A10" s="526"/>
      <c r="B10" s="527" t="s">
        <v>1660</v>
      </c>
      <c r="C10" s="530" t="str">
        <f>IF(AND(Cover!B6="",Cover!B7=""),"ERROR - Choose Accounting Basis.","OK")</f>
        <v>OK</v>
      </c>
      <c r="F10" s="613" t="str">
        <f t="shared" ref="F10:F12" si="0">C10</f>
        <v>OK</v>
      </c>
      <c r="G10" s="613"/>
      <c r="I10" s="1681" t="s">
        <v>7231</v>
      </c>
      <c r="J10" s="1682">
        <f>IF('EBF Spending Plan 30-34'!G100="[Enter $]","",'EBF Spending Plan 30-34'!G100)</f>
        <v>67000</v>
      </c>
      <c r="K10" s="1683" t="str">
        <f>IF('EBF Spending Plan 30-34'!H100="","",'EBF Spending Plan 30-34'!H100)</f>
        <v>Estimated</v>
      </c>
    </row>
    <row r="11" spans="1:11" x14ac:dyDescent="0.2">
      <c r="A11" s="528"/>
      <c r="B11" s="527" t="s">
        <v>1949</v>
      </c>
      <c r="C11" s="530" t="str">
        <f>IF(OR(ISBLANK(Cover!M31),ISBLANK(Cover!Q31),ISBLANK(Cover!P43),ISBLANK(Cover!T43)),"ERROR - INPUT DATE(S)","OK")</f>
        <v>OK</v>
      </c>
      <c r="F11" s="613" t="str">
        <f t="shared" si="0"/>
        <v>OK</v>
      </c>
      <c r="G11" s="613"/>
      <c r="I11" s="1681" t="s">
        <v>3271</v>
      </c>
      <c r="J11" s="1682">
        <f>IF('EBF Spending Plan 30-34'!G101="[Enter $]","",'EBF Spending Plan 30-34'!G101)</f>
        <v>0</v>
      </c>
      <c r="K11" s="1683" t="str">
        <f>IF('EBF Spending Plan 30-34'!H101="","",'EBF Spending Plan 30-34'!H101)</f>
        <v>Estimated</v>
      </c>
    </row>
    <row r="12" spans="1:11" ht="13.5" thickBot="1" x14ac:dyDescent="0.25">
      <c r="A12" s="531"/>
      <c r="B12" s="527" t="s">
        <v>1948</v>
      </c>
      <c r="C12" s="530" t="str" cm="1">
        <f t="array" ref="C12">IF(AND(Cover!E49:J58="",Cover!K49:Q58=""),"ERROR - TYPE BOARD NAMES","OK")</f>
        <v>OK</v>
      </c>
      <c r="F12" s="613" t="str">
        <f t="shared" si="0"/>
        <v>OK</v>
      </c>
      <c r="G12" s="613"/>
      <c r="I12" s="1684" t="s">
        <v>7232</v>
      </c>
      <c r="J12" s="1685">
        <f>IF('EBF Spending Plan 30-34'!G102="[Enter $]","",'EBF Spending Plan 30-34'!G102)</f>
        <v>225000</v>
      </c>
      <c r="K12" s="1686" t="str">
        <f>IF('EBF Spending Plan 30-34'!H102="","",'EBF Spending Plan 30-34'!H102)</f>
        <v>Estimated</v>
      </c>
    </row>
    <row r="13" spans="1:11" x14ac:dyDescent="0.2">
      <c r="A13" s="533">
        <v>3</v>
      </c>
      <c r="B13" s="2157" t="s">
        <v>811</v>
      </c>
      <c r="C13" s="2158"/>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5" t="s">
        <v>3254</v>
      </c>
      <c r="C23" s="2156"/>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61" t="s">
        <v>3255</v>
      </c>
      <c r="C34" s="2162"/>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9" t="s">
        <v>808</v>
      </c>
      <c r="C44" s="2160"/>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9" t="s">
        <v>809</v>
      </c>
      <c r="C47" s="2160"/>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9" t="s">
        <v>810</v>
      </c>
      <c r="C49" s="2160"/>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9" t="s">
        <v>1661</v>
      </c>
      <c r="C51" s="2160"/>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OK</v>
      </c>
      <c r="F53" s="613">
        <f>COUNTIFS(F8:F52,"OK")</f>
        <v>37</v>
      </c>
    </row>
    <row r="54" spans="1:6" x14ac:dyDescent="0.2">
      <c r="A54" s="1627">
        <v>10</v>
      </c>
      <c r="B54" s="2147" t="s">
        <v>7221</v>
      </c>
      <c r="C54" s="2148"/>
      <c r="F54" s="613"/>
    </row>
    <row r="55" spans="1:6" x14ac:dyDescent="0.2">
      <c r="A55" s="1628"/>
      <c r="B55" s="1630" t="s">
        <v>7222</v>
      </c>
      <c r="C55" s="1629"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3" t="s">
        <v>7020</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3" t="s">
        <v>7021</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3" t="s">
        <v>3274</v>
      </c>
      <c r="BB931" s="2163"/>
      <c r="BC931" s="2163"/>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E7" sqref="E7"/>
    </sheetView>
  </sheetViews>
  <sheetFormatPr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4" t="s">
        <v>4393</v>
      </c>
      <c r="B1" s="2164"/>
    </row>
    <row r="3" spans="1:3" x14ac:dyDescent="0.25">
      <c r="A3" s="1539" t="s">
        <v>4392</v>
      </c>
      <c r="B3" s="1539" t="s">
        <v>4391</v>
      </c>
      <c r="C3" s="1539" t="s">
        <v>4390</v>
      </c>
    </row>
    <row r="4" spans="1:3" x14ac:dyDescent="0.25">
      <c r="A4" s="1575" t="s">
        <v>4394</v>
      </c>
      <c r="B4" s="1468" t="str">
        <f>'EBF Spending Plan 30-34'!A2</f>
        <v>GRANT PARK C U  SCHOOL DIST 6</v>
      </c>
      <c r="C4" s="1575" t="s">
        <v>4396</v>
      </c>
    </row>
    <row r="5" spans="1:3" x14ac:dyDescent="0.25">
      <c r="A5" s="1575" t="s">
        <v>4395</v>
      </c>
      <c r="B5" s="1468" t="str">
        <f>IF('EBF Spending Plan 30-34'!O1="","",'EBF Spending Plan 30-34'!O1&amp;"00")</f>
        <v>3204600602600</v>
      </c>
      <c r="C5" s="1575" t="s">
        <v>4396</v>
      </c>
    </row>
    <row r="6" spans="1:3" x14ac:dyDescent="0.25">
      <c r="A6" s="1626" t="s">
        <v>7022</v>
      </c>
      <c r="B6" s="1468" t="str">
        <f>'EBF Spending Plan 30-34'!B7</f>
        <v xml:space="preserve">1.  Our priority goal for the 2023-24 is to focus on academic and socio-emotional recovery for all students attending Grant Park School District #6.  We will utlize specific measurement tools to evaluate progress in both academic achievement (interval assessments) as well as socio-emotional assistance for struggling students.  2.  We will utilize a leadership strategy entitled "Implementation 180" in both the development and implementation of our School Improvement Plan (per building).  3.  We will reach our initiatives with our current Strategic Plan by maintaining small class sizes and providing critical interventions.  </v>
      </c>
      <c r="C6" s="1575" t="s">
        <v>4396</v>
      </c>
    </row>
    <row r="7" spans="1:3" x14ac:dyDescent="0.25">
      <c r="A7" s="1468" t="s">
        <v>7026</v>
      </c>
      <c r="B7" s="1468" t="str">
        <f>'EBF Spending Plan 30-34'!G11</f>
        <v>Provide interventions and services to reduce truancy or dropout rates</v>
      </c>
      <c r="C7" s="1575" t="s">
        <v>4396</v>
      </c>
    </row>
    <row r="8" spans="1:3" x14ac:dyDescent="0.25">
      <c r="A8" s="1468" t="s">
        <v>7023</v>
      </c>
      <c r="B8" s="1468" t="str">
        <f>'EBF Spending Plan 30-34'!I11</f>
        <v>Maintain or decrease class sizes</v>
      </c>
      <c r="C8" s="1575" t="s">
        <v>4396</v>
      </c>
    </row>
    <row r="9" spans="1:3" x14ac:dyDescent="0.25">
      <c r="A9" s="1468" t="s">
        <v>7024</v>
      </c>
      <c r="B9" s="1468" t="str">
        <f>'EBF Spending Plan 30-34'!L11</f>
        <v>Maintain or expand early childhood programming</v>
      </c>
      <c r="C9" s="1575" t="s">
        <v>4396</v>
      </c>
    </row>
    <row r="10" spans="1:3" x14ac:dyDescent="0.25">
      <c r="A10" s="1468" t="s">
        <v>7025</v>
      </c>
      <c r="B10" s="1468" t="str">
        <f>IF('EBF Spending Plan 30-34'!G12="","",'EBF Spending Plan 30-34'!G12)</f>
        <v/>
      </c>
      <c r="C10" s="1575" t="s">
        <v>4396</v>
      </c>
    </row>
    <row r="11" spans="1:3" x14ac:dyDescent="0.25">
      <c r="A11" s="1575" t="s">
        <v>7048</v>
      </c>
      <c r="B11" s="1468">
        <f>'EBF Spending Plan 30-34'!G18</f>
        <v>421.43</v>
      </c>
      <c r="C11" s="1575" t="s">
        <v>4397</v>
      </c>
    </row>
    <row r="12" spans="1:3" x14ac:dyDescent="0.25">
      <c r="A12" s="1575" t="s">
        <v>7027</v>
      </c>
      <c r="B12" s="1468">
        <f>'EBF Spending Plan 30-34'!J18</f>
        <v>5616649.3099999996</v>
      </c>
      <c r="C12" s="1575" t="s">
        <v>4397</v>
      </c>
    </row>
    <row r="13" spans="1:3" x14ac:dyDescent="0.25">
      <c r="A13" s="1575" t="s">
        <v>7028</v>
      </c>
      <c r="B13" s="1468">
        <f>'EBF Spending Plan 30-34'!G20</f>
        <v>5022763.0199999996</v>
      </c>
      <c r="C13" s="1575" t="s">
        <v>4397</v>
      </c>
    </row>
    <row r="14" spans="1:3" x14ac:dyDescent="0.25">
      <c r="A14" s="1575" t="s">
        <v>7029</v>
      </c>
      <c r="B14" s="1538">
        <f>'EBF Spending Plan 30-34'!J20</f>
        <v>0.89426324179744809</v>
      </c>
      <c r="C14" s="1575" t="s">
        <v>4397</v>
      </c>
    </row>
    <row r="15" spans="1:3" x14ac:dyDescent="0.25">
      <c r="A15" s="1575" t="s">
        <v>7030</v>
      </c>
      <c r="B15" s="1468">
        <f>'EBF Spending Plan 30-34'!G22</f>
        <v>2</v>
      </c>
      <c r="C15" s="1575" t="s">
        <v>4397</v>
      </c>
    </row>
    <row r="16" spans="1:3" x14ac:dyDescent="0.25">
      <c r="A16" s="1575" t="s">
        <v>7031</v>
      </c>
      <c r="B16" s="1468">
        <f>'EBF Spending Plan 30-34'!G24</f>
        <v>820592.58999999985</v>
      </c>
      <c r="C16" s="1575" t="s">
        <v>4397</v>
      </c>
    </row>
    <row r="17" spans="1:3" x14ac:dyDescent="0.25">
      <c r="A17" s="1575" t="s">
        <v>7032</v>
      </c>
      <c r="B17" s="1468">
        <f>'EBF Spending Plan 30-34'!J22</f>
        <v>833212.43999999983</v>
      </c>
      <c r="C17" s="1575" t="s">
        <v>4397</v>
      </c>
    </row>
    <row r="18" spans="1:3" x14ac:dyDescent="0.25">
      <c r="A18" s="1575" t="s">
        <v>7033</v>
      </c>
      <c r="B18" s="1468">
        <f>'EBF Spending Plan 30-34'!J24</f>
        <v>12619.85</v>
      </c>
      <c r="C18" s="1575" t="s">
        <v>4397</v>
      </c>
    </row>
    <row r="19" spans="1:3" x14ac:dyDescent="0.25">
      <c r="A19" s="1575" t="s">
        <v>7034</v>
      </c>
      <c r="B19" s="1468">
        <f>'EBF Spending Plan 30-34'!G26</f>
        <v>89818.040000000008</v>
      </c>
      <c r="C19" s="1575" t="s">
        <v>4397</v>
      </c>
    </row>
    <row r="20" spans="1:3" x14ac:dyDescent="0.25">
      <c r="A20" s="1575" t="s">
        <v>7035</v>
      </c>
      <c r="B20" s="1468">
        <f>'EBF Spending Plan 30-34'!G27</f>
        <v>86.59</v>
      </c>
      <c r="C20" s="1575" t="s">
        <v>4397</v>
      </c>
    </row>
    <row r="21" spans="1:3" x14ac:dyDescent="0.25">
      <c r="A21" s="1575" t="s">
        <v>7036</v>
      </c>
      <c r="B21" s="1468">
        <f>'EBF Spending Plan 30-34'!G28</f>
        <v>162015.54999999996</v>
      </c>
      <c r="C21" s="1575" t="s">
        <v>4397</v>
      </c>
    </row>
    <row r="22" spans="1:3" x14ac:dyDescent="0.25">
      <c r="A22" s="1624" t="s">
        <v>7037</v>
      </c>
      <c r="B22" s="1468">
        <f>'EBF Spending Plan 30-34'!G31</f>
        <v>833212</v>
      </c>
      <c r="C22" s="1576" t="s">
        <v>4398</v>
      </c>
    </row>
    <row r="23" spans="1:3" x14ac:dyDescent="0.25">
      <c r="A23" s="1624" t="s">
        <v>7038</v>
      </c>
      <c r="B23" s="1468" t="str">
        <f>'EBF Spending Plan 30-34'!H31</f>
        <v>Estimated</v>
      </c>
      <c r="C23" s="1624" t="s">
        <v>4398</v>
      </c>
    </row>
    <row r="24" spans="1:3" x14ac:dyDescent="0.25">
      <c r="A24" s="1468" t="s">
        <v>7039</v>
      </c>
      <c r="B24" s="1468" t="str">
        <f>'EBF Spending Plan 30-34'!G35</f>
        <v>Student growth and achievement data, disaggregated by student groups</v>
      </c>
      <c r="C24" s="1576" t="s">
        <v>4398</v>
      </c>
    </row>
    <row r="25" spans="1:3" x14ac:dyDescent="0.25">
      <c r="A25" s="1468" t="s">
        <v>7040</v>
      </c>
      <c r="B25" s="1468" t="str">
        <f>'EBF Spending Plan 30-34'!I35</f>
        <v>Student grades or other local academic performance data</v>
      </c>
      <c r="C25" s="1576" t="s">
        <v>4398</v>
      </c>
    </row>
    <row r="26" spans="1:3" x14ac:dyDescent="0.25">
      <c r="A26" s="1468" t="s">
        <v>7041</v>
      </c>
      <c r="B26" s="1468" t="str">
        <f>'EBF Spending Plan 30-34'!L35</f>
        <v>Other local data sources</v>
      </c>
      <c r="C26" s="1576" t="s">
        <v>4398</v>
      </c>
    </row>
    <row r="27" spans="1:3" x14ac:dyDescent="0.25">
      <c r="A27" s="1468" t="s">
        <v>7042</v>
      </c>
      <c r="B27" s="1468" t="str">
        <f>IF('EBF Spending Plan 30-34'!H37="","",'EBF Spending Plan 30-34'!H37)</f>
        <v/>
      </c>
      <c r="C27" s="1576" t="s">
        <v>4398</v>
      </c>
    </row>
    <row r="28" spans="1:3" x14ac:dyDescent="0.25">
      <c r="A28" s="1468" t="s">
        <v>7043</v>
      </c>
      <c r="B28" s="1468" t="str">
        <f>IF('EBF Spending Plan 30-34'!H38="","",'EBF Spending Plan 30-34'!H38)</f>
        <v>Yes</v>
      </c>
      <c r="C28" s="1576" t="s">
        <v>4398</v>
      </c>
    </row>
    <row r="29" spans="1:3" x14ac:dyDescent="0.25">
      <c r="A29" s="1468" t="s">
        <v>7044</v>
      </c>
      <c r="B29" s="1468" t="str">
        <f>IF('EBF Spending Plan 30-34'!H39="","",'EBF Spending Plan 30-34'!H39)</f>
        <v>Yes</v>
      </c>
      <c r="C29" s="1576" t="s">
        <v>4398</v>
      </c>
    </row>
    <row r="30" spans="1:3" x14ac:dyDescent="0.25">
      <c r="A30" s="1468" t="s">
        <v>7045</v>
      </c>
      <c r="B30" s="1468" t="str">
        <f>IF('EBF Spending Plan 30-34'!H40="","",'EBF Spending Plan 30-34'!H40)</f>
        <v>Yes</v>
      </c>
      <c r="C30" s="1576" t="s">
        <v>4398</v>
      </c>
    </row>
    <row r="31" spans="1:3" x14ac:dyDescent="0.25">
      <c r="A31" s="1468" t="s">
        <v>7046</v>
      </c>
      <c r="B31" s="1468" t="str">
        <f>IF('EBF Spending Plan 30-34'!K37="","",'EBF Spending Plan 30-34'!K37)</f>
        <v>Yes</v>
      </c>
      <c r="C31" s="1576" t="s">
        <v>4398</v>
      </c>
    </row>
    <row r="32" spans="1:3" x14ac:dyDescent="0.25">
      <c r="A32" s="1468" t="s">
        <v>7047</v>
      </c>
      <c r="B32" s="1468" t="str">
        <f>IF('EBF Spending Plan 30-34'!K38="","",'EBF Spending Plan 30-34'!K38)</f>
        <v>Yes</v>
      </c>
      <c r="C32" s="1576" t="s">
        <v>4398</v>
      </c>
    </row>
    <row r="33" spans="1:3" x14ac:dyDescent="0.25">
      <c r="A33" s="1468" t="s">
        <v>7049</v>
      </c>
      <c r="B33" s="1468" t="str">
        <f>IF('EBF Spending Plan 30-34'!K39="","",'EBF Spending Plan 30-34'!K39)</f>
        <v>Yes</v>
      </c>
      <c r="C33" s="1576" t="s">
        <v>4398</v>
      </c>
    </row>
    <row r="34" spans="1:3" x14ac:dyDescent="0.25">
      <c r="A34" s="1468" t="s">
        <v>7050</v>
      </c>
      <c r="B34" s="1468" t="str">
        <f>IF('EBF Spending Plan 30-34'!K40="","",'EBF Spending Plan 30-34'!K40)</f>
        <v>Yes</v>
      </c>
      <c r="C34" s="1576" t="s">
        <v>4398</v>
      </c>
    </row>
    <row r="35" spans="1:3" x14ac:dyDescent="0.25">
      <c r="A35" s="1468" t="s">
        <v>7051</v>
      </c>
      <c r="B35" s="1468" t="str">
        <f>IF('EBF Spending Plan 30-34'!M37="","",'EBF Spending Plan 30-34'!M37)</f>
        <v>Yes</v>
      </c>
      <c r="C35" s="1576" t="s">
        <v>4398</v>
      </c>
    </row>
    <row r="36" spans="1:3" x14ac:dyDescent="0.25">
      <c r="A36" s="1468" t="s">
        <v>7052</v>
      </c>
      <c r="B36" s="1468" t="str">
        <f>IF('EBF Spending Plan 30-34'!M38="","",'EBF Spending Plan 30-34'!M38)</f>
        <v/>
      </c>
      <c r="C36" s="1576" t="s">
        <v>4398</v>
      </c>
    </row>
    <row r="37" spans="1:3" x14ac:dyDescent="0.25">
      <c r="A37" s="1468" t="s">
        <v>7053</v>
      </c>
      <c r="B37" s="1468" t="str">
        <f>IF('EBF Spending Plan 30-34'!M39="","",'EBF Spending Plan 30-34'!M39)</f>
        <v>Yes</v>
      </c>
      <c r="C37" s="1576" t="s">
        <v>4398</v>
      </c>
    </row>
    <row r="38" spans="1:3" x14ac:dyDescent="0.25">
      <c r="A38" s="1468" t="s">
        <v>7054</v>
      </c>
      <c r="B38" s="1468" t="str">
        <f>IF('EBF Spending Plan 30-34'!M40="","",'EBF Spending Plan 30-34'!M40)</f>
        <v/>
      </c>
      <c r="C38" s="1576" t="s">
        <v>4398</v>
      </c>
    </row>
    <row r="39" spans="1:3" x14ac:dyDescent="0.25">
      <c r="A39" s="1468" t="s">
        <v>7055</v>
      </c>
      <c r="B39" s="1468" t="str">
        <f>IF('EBF Spending Plan 30-34'!G41="","",'EBF Spending Plan 30-34'!G41)</f>
        <v/>
      </c>
      <c r="C39" s="1576" t="s">
        <v>4398</v>
      </c>
    </row>
    <row r="40" spans="1:3" x14ac:dyDescent="0.25">
      <c r="A40" s="1468" t="s">
        <v>7056</v>
      </c>
      <c r="B40" s="1468" t="str">
        <f>'EBF Spending Plan 30-34'!G43</f>
        <v>Core Teachers</v>
      </c>
      <c r="C40" s="1576" t="s">
        <v>4398</v>
      </c>
    </row>
    <row r="41" spans="1:3" x14ac:dyDescent="0.25">
      <c r="A41" s="1468" t="s">
        <v>7057</v>
      </c>
      <c r="B41" s="1468" t="str">
        <f>'EBF Spending Plan 30-34'!I43</f>
        <v>Core Intervention Teacher</v>
      </c>
      <c r="C41" s="1576" t="s">
        <v>4398</v>
      </c>
    </row>
    <row r="42" spans="1:3" x14ac:dyDescent="0.25">
      <c r="A42" s="1468" t="s">
        <v>7058</v>
      </c>
      <c r="B42" s="1468" t="str">
        <f>'EBF Spending Plan 30-34'!L43</f>
        <v>Professional Development</v>
      </c>
      <c r="C42" s="1576" t="s">
        <v>4398</v>
      </c>
    </row>
    <row r="43" spans="1:3" x14ac:dyDescent="0.25">
      <c r="A43" s="1468" t="s">
        <v>7059</v>
      </c>
      <c r="B43" s="1468" t="str">
        <f>IF('EBF Spending Plan 30-34'!G44="","",'EBF Spending Plan 30-34'!G44)</f>
        <v/>
      </c>
      <c r="C43" s="1576" t="s">
        <v>4398</v>
      </c>
    </row>
    <row r="44" spans="1:3" x14ac:dyDescent="0.25">
      <c r="A44" s="1468" t="s">
        <v>7060</v>
      </c>
      <c r="B44" s="1468">
        <f>'EBF Spending Plan 30-34'!F52</f>
        <v>1341762.2</v>
      </c>
      <c r="C44" s="1575" t="s">
        <v>4399</v>
      </c>
    </row>
    <row r="45" spans="1:3" x14ac:dyDescent="0.25">
      <c r="A45" s="1468" t="s">
        <v>7061</v>
      </c>
      <c r="B45" s="1468">
        <f>'EBF Spending Plan 30-34'!F53</f>
        <v>332813.88</v>
      </c>
      <c r="C45" s="1575" t="s">
        <v>4399</v>
      </c>
    </row>
    <row r="46" spans="1:3" x14ac:dyDescent="0.25">
      <c r="A46" s="1468" t="s">
        <v>7062</v>
      </c>
      <c r="B46" s="1468">
        <f>'EBF Spending Plan 30-34'!F54</f>
        <v>145486.31</v>
      </c>
      <c r="C46" s="1575" t="s">
        <v>4399</v>
      </c>
    </row>
    <row r="47" spans="1:3" x14ac:dyDescent="0.25">
      <c r="A47" s="1468" t="s">
        <v>7063</v>
      </c>
      <c r="B47" s="1468">
        <f>'EBF Spending Plan 30-34'!F55</f>
        <v>57651.45</v>
      </c>
      <c r="C47" s="1575" t="s">
        <v>4399</v>
      </c>
    </row>
    <row r="48" spans="1:3" x14ac:dyDescent="0.25">
      <c r="A48" s="1468" t="s">
        <v>7064</v>
      </c>
      <c r="B48" s="1468">
        <f>'EBF Spending Plan 30-34'!F56</f>
        <v>45056.91</v>
      </c>
      <c r="C48" s="1575" t="s">
        <v>4399</v>
      </c>
    </row>
    <row r="49" spans="1:3" x14ac:dyDescent="0.25">
      <c r="A49" s="1468" t="s">
        <v>7065</v>
      </c>
      <c r="B49" s="1468">
        <f>'EBF Spending Plan 30-34'!F57</f>
        <v>103381.75</v>
      </c>
      <c r="C49" s="1575" t="s">
        <v>4399</v>
      </c>
    </row>
    <row r="50" spans="1:3" x14ac:dyDescent="0.25">
      <c r="A50" s="1468" t="s">
        <v>7066</v>
      </c>
      <c r="B50" s="1468">
        <f>'EBF Spending Plan 30-34'!F58</f>
        <v>31721.48</v>
      </c>
      <c r="C50" s="1575" t="s">
        <v>4399</v>
      </c>
    </row>
    <row r="51" spans="1:3" x14ac:dyDescent="0.25">
      <c r="A51" s="1468" t="s">
        <v>7067</v>
      </c>
      <c r="B51" s="1468">
        <f>'EBF Spending Plan 30-34'!F59</f>
        <v>53207.56</v>
      </c>
      <c r="C51" s="1575" t="s">
        <v>4399</v>
      </c>
    </row>
    <row r="52" spans="1:3" x14ac:dyDescent="0.25">
      <c r="A52" s="1468" t="s">
        <v>7068</v>
      </c>
      <c r="B52" s="1468">
        <f>'EBF Spending Plan 30-34'!F60</f>
        <v>63445.74</v>
      </c>
      <c r="C52" s="1575" t="s">
        <v>4399</v>
      </c>
    </row>
    <row r="53" spans="1:3" x14ac:dyDescent="0.25">
      <c r="A53" s="1468" t="s">
        <v>7069</v>
      </c>
      <c r="B53" s="1468">
        <f>'EBF Spending Plan 30-34'!F61</f>
        <v>38122.94</v>
      </c>
      <c r="C53" s="1575" t="s">
        <v>4399</v>
      </c>
    </row>
    <row r="54" spans="1:3" x14ac:dyDescent="0.25">
      <c r="A54" s="1468" t="s">
        <v>7070</v>
      </c>
      <c r="B54" s="1468">
        <f>'EBF Spending Plan 30-34'!F62</f>
        <v>94743.08</v>
      </c>
      <c r="C54" s="1575" t="s">
        <v>4399</v>
      </c>
    </row>
    <row r="55" spans="1:3" x14ac:dyDescent="0.25">
      <c r="A55" s="1468" t="s">
        <v>7071</v>
      </c>
      <c r="B55" s="1468">
        <f>'EBF Spending Plan 30-34'!F63</f>
        <v>81716.259999999995</v>
      </c>
      <c r="C55" s="1575" t="s">
        <v>4399</v>
      </c>
    </row>
    <row r="56" spans="1:3" x14ac:dyDescent="0.25">
      <c r="A56" s="1468" t="s">
        <v>7072</v>
      </c>
      <c r="B56" s="1468">
        <f>'EBF Spending Plan 30-34'!F64</f>
        <v>63845.7</v>
      </c>
      <c r="C56" s="1575" t="s">
        <v>4399</v>
      </c>
    </row>
    <row r="57" spans="1:3" x14ac:dyDescent="0.25">
      <c r="A57" s="1468" t="s">
        <v>7073</v>
      </c>
      <c r="B57" s="1468">
        <f>'EBF Spending Plan 30-34'!F65</f>
        <v>2452955.2600000002</v>
      </c>
      <c r="C57" s="1575" t="s">
        <v>4399</v>
      </c>
    </row>
    <row r="58" spans="1:3" x14ac:dyDescent="0.25">
      <c r="A58" s="1468" t="s">
        <v>7074</v>
      </c>
      <c r="B58" s="1468">
        <f>'EBF Spending Plan 30-34'!F66</f>
        <v>37809</v>
      </c>
      <c r="C58" s="1575" t="s">
        <v>4399</v>
      </c>
    </row>
    <row r="59" spans="1:3" x14ac:dyDescent="0.25">
      <c r="A59" s="1468" t="s">
        <v>7075</v>
      </c>
      <c r="B59" s="1468">
        <f>'EBF Spending Plan 30-34'!F67</f>
        <v>52678.75</v>
      </c>
      <c r="C59" s="1575" t="s">
        <v>4399</v>
      </c>
    </row>
    <row r="60" spans="1:3" x14ac:dyDescent="0.25">
      <c r="A60" s="1468" t="s">
        <v>7076</v>
      </c>
      <c r="B60" s="1468">
        <f>'EBF Spending Plan 30-34'!F68</f>
        <v>113364.66999999998</v>
      </c>
      <c r="C60" s="1575" t="s">
        <v>4399</v>
      </c>
    </row>
    <row r="61" spans="1:3" x14ac:dyDescent="0.25">
      <c r="A61" s="1468" t="s">
        <v>7077</v>
      </c>
      <c r="B61" s="1468">
        <f>'EBF Spending Plan 30-34'!F69</f>
        <v>12221.47</v>
      </c>
      <c r="C61" s="1575" t="s">
        <v>4399</v>
      </c>
    </row>
    <row r="62" spans="1:3" x14ac:dyDescent="0.25">
      <c r="A62" s="1468" t="s">
        <v>7078</v>
      </c>
      <c r="B62" s="1468">
        <f>'EBF Spending Plan 30-34'!F70</f>
        <v>240636.53</v>
      </c>
      <c r="C62" s="1575" t="s">
        <v>4399</v>
      </c>
    </row>
    <row r="63" spans="1:3" x14ac:dyDescent="0.25">
      <c r="A63" s="1468" t="s">
        <v>7079</v>
      </c>
      <c r="B63" s="1468">
        <f>'EBF Spending Plan 30-34'!F71</f>
        <v>157663.49</v>
      </c>
      <c r="C63" s="1575" t="s">
        <v>4399</v>
      </c>
    </row>
    <row r="64" spans="1:3" x14ac:dyDescent="0.25">
      <c r="A64" s="1468" t="s">
        <v>7080</v>
      </c>
      <c r="B64" s="1468">
        <f>'EBF Spending Plan 30-34'!F72</f>
        <v>517094.60999999993</v>
      </c>
      <c r="C64" s="1575" t="s">
        <v>4399</v>
      </c>
    </row>
    <row r="65" spans="1:3" x14ac:dyDescent="0.25">
      <c r="A65" s="1468" t="s">
        <v>7081</v>
      </c>
      <c r="B65" s="1468">
        <f>'EBF Spending Plan 30-34'!F73</f>
        <v>372122.69</v>
      </c>
      <c r="C65" s="1575" t="s">
        <v>4399</v>
      </c>
    </row>
    <row r="66" spans="1:3" x14ac:dyDescent="0.25">
      <c r="A66" s="1468" t="s">
        <v>7082</v>
      </c>
      <c r="B66" s="1468">
        <f>'EBF Spending Plan 30-34'!F74</f>
        <v>1053627.04293</v>
      </c>
      <c r="C66" s="1575" t="s">
        <v>4399</v>
      </c>
    </row>
    <row r="67" spans="1:3" x14ac:dyDescent="0.25">
      <c r="A67" s="1468" t="s">
        <v>7083</v>
      </c>
      <c r="B67" s="1468">
        <f>'EBF Spending Plan 30-34'!F75</f>
        <v>2544559.9529299997</v>
      </c>
      <c r="C67" s="1575" t="s">
        <v>4399</v>
      </c>
    </row>
    <row r="68" spans="1:3" x14ac:dyDescent="0.25">
      <c r="A68" s="1468" t="s">
        <v>7084</v>
      </c>
      <c r="B68" s="1468">
        <f>'EBF Spending Plan 30-34'!F76</f>
        <v>67736.58</v>
      </c>
      <c r="C68" s="1575" t="s">
        <v>4399</v>
      </c>
    </row>
    <row r="69" spans="1:3" x14ac:dyDescent="0.25">
      <c r="A69" s="1468" t="s">
        <v>7085</v>
      </c>
      <c r="B69" s="1468">
        <f>'EBF Spending Plan 30-34'!F77</f>
        <v>67736.58</v>
      </c>
      <c r="C69" s="1575" t="s">
        <v>4399</v>
      </c>
    </row>
    <row r="70" spans="1:3" x14ac:dyDescent="0.25">
      <c r="A70" s="1468" t="s">
        <v>7086</v>
      </c>
      <c r="B70" s="1468">
        <f>'EBF Spending Plan 30-34'!F78</f>
        <v>71192.53</v>
      </c>
      <c r="C70" s="1575" t="s">
        <v>4399</v>
      </c>
    </row>
    <row r="71" spans="1:3" x14ac:dyDescent="0.25">
      <c r="A71" s="1468" t="s">
        <v>7087</v>
      </c>
      <c r="B71" s="1468">
        <f>'EBF Spending Plan 30-34'!F79</f>
        <v>71192.53</v>
      </c>
      <c r="C71" s="1575" t="s">
        <v>4399</v>
      </c>
    </row>
    <row r="72" spans="1:3" x14ac:dyDescent="0.25">
      <c r="A72" s="1468" t="s">
        <v>7088</v>
      </c>
      <c r="B72" s="1468">
        <f>'EBF Spending Plan 30-34'!F80</f>
        <v>4147.13</v>
      </c>
      <c r="C72" s="1575" t="s">
        <v>4399</v>
      </c>
    </row>
    <row r="73" spans="1:3" x14ac:dyDescent="0.25">
      <c r="A73" s="1468" t="s">
        <v>7089</v>
      </c>
      <c r="B73" s="1468">
        <f>'EBF Spending Plan 30-34'!F81</f>
        <v>4147.13</v>
      </c>
      <c r="C73" s="1575" t="s">
        <v>4399</v>
      </c>
    </row>
    <row r="74" spans="1:3" x14ac:dyDescent="0.25">
      <c r="A74" s="1468" t="s">
        <v>7090</v>
      </c>
      <c r="B74" s="1468">
        <f>'EBF Spending Plan 30-34'!F82</f>
        <v>4147.13</v>
      </c>
      <c r="C74" s="1575" t="s">
        <v>4399</v>
      </c>
    </row>
    <row r="75" spans="1:3" x14ac:dyDescent="0.25">
      <c r="A75" s="1468" t="s">
        <v>7091</v>
      </c>
      <c r="B75" s="1468">
        <f>'EBF Spending Plan 30-34'!F83</f>
        <v>4147.13</v>
      </c>
      <c r="C75" s="1575" t="s">
        <v>4399</v>
      </c>
    </row>
    <row r="76" spans="1:3" x14ac:dyDescent="0.25">
      <c r="A76" s="1468" t="s">
        <v>7092</v>
      </c>
      <c r="B76" s="1468">
        <f>'EBF Spending Plan 30-34'!F84</f>
        <v>4838.32</v>
      </c>
      <c r="C76" s="1575" t="s">
        <v>4399</v>
      </c>
    </row>
    <row r="77" spans="1:3" x14ac:dyDescent="0.25">
      <c r="A77" s="1468" t="s">
        <v>7093</v>
      </c>
      <c r="B77" s="1468">
        <f>'EBF Spending Plan 30-34'!F85</f>
        <v>205974.52</v>
      </c>
      <c r="C77" s="1575" t="s">
        <v>4399</v>
      </c>
    </row>
    <row r="78" spans="1:3" x14ac:dyDescent="0.25">
      <c r="A78" s="1468" t="s">
        <v>7094</v>
      </c>
      <c r="B78" s="1468">
        <f>'EBF Spending Plan 30-34'!F86</f>
        <v>81731.210000000006</v>
      </c>
      <c r="C78" s="1575" t="s">
        <v>4399</v>
      </c>
    </row>
    <row r="79" spans="1:3" x14ac:dyDescent="0.25">
      <c r="A79" s="1468" t="s">
        <v>7095</v>
      </c>
      <c r="B79" s="1468">
        <f>'EBF Spending Plan 30-34'!F87</f>
        <v>32143.13</v>
      </c>
      <c r="C79" s="1575" t="s">
        <v>4399</v>
      </c>
    </row>
    <row r="80" spans="1:3" x14ac:dyDescent="0.25">
      <c r="A80" s="1468" t="s">
        <v>7096</v>
      </c>
      <c r="B80" s="1468">
        <f>'EBF Spending Plan 30-34'!F88</f>
        <v>619133.91999999993</v>
      </c>
      <c r="C80" s="1575" t="s">
        <v>4399</v>
      </c>
    </row>
    <row r="81" spans="1:3" x14ac:dyDescent="0.25">
      <c r="A81" s="1468" t="s">
        <v>7097</v>
      </c>
      <c r="B81" s="1468">
        <f>'EBF Spending Plan 30-34'!F90</f>
        <v>5616649.3099999996</v>
      </c>
      <c r="C81" s="1575" t="s">
        <v>4399</v>
      </c>
    </row>
    <row r="82" spans="1:3" x14ac:dyDescent="0.25">
      <c r="A82" s="1468" t="s">
        <v>7098</v>
      </c>
      <c r="B82" s="1468">
        <f>IF('EBF Spending Plan 30-34'!G52="","",'EBF Spending Plan 30-34'!G52)</f>
        <v>686800</v>
      </c>
      <c r="C82" s="1575" t="s">
        <v>4400</v>
      </c>
    </row>
    <row r="83" spans="1:3" x14ac:dyDescent="0.25">
      <c r="A83" s="1468" t="s">
        <v>7099</v>
      </c>
      <c r="B83" s="1468">
        <f>IF('EBF Spending Plan 30-34'!G53="","",'EBF Spending Plan 30-34'!G53)</f>
        <v>12619</v>
      </c>
      <c r="C83" s="1575" t="s">
        <v>4400</v>
      </c>
    </row>
    <row r="84" spans="1:3" x14ac:dyDescent="0.25">
      <c r="A84" s="1468" t="s">
        <v>7100</v>
      </c>
      <c r="B84" s="1468">
        <f>IF('EBF Spending Plan 30-34'!G54="","",'EBF Spending Plan 30-34'!G54)</f>
        <v>0</v>
      </c>
      <c r="C84" s="1575" t="s">
        <v>4400</v>
      </c>
    </row>
    <row r="85" spans="1:3" x14ac:dyDescent="0.25">
      <c r="A85" s="1468" t="s">
        <v>7101</v>
      </c>
      <c r="B85" s="1468">
        <f>IF('EBF Spending Plan 30-34'!G55="","",'EBF Spending Plan 30-34'!G55)</f>
        <v>0</v>
      </c>
      <c r="C85" s="1575" t="s">
        <v>4400</v>
      </c>
    </row>
    <row r="86" spans="1:3" x14ac:dyDescent="0.25">
      <c r="A86" s="1468" t="s">
        <v>7102</v>
      </c>
      <c r="B86" s="1468">
        <f>IF('EBF Spending Plan 30-34'!G56="","",'EBF Spending Plan 30-34'!G56)</f>
        <v>0</v>
      </c>
      <c r="C86" s="1575" t="s">
        <v>4400</v>
      </c>
    </row>
    <row r="87" spans="1:3" x14ac:dyDescent="0.25">
      <c r="A87" s="1468" t="s">
        <v>7103</v>
      </c>
      <c r="B87" s="1468">
        <f>IF('EBF Spending Plan 30-34'!G57="","",'EBF Spending Plan 30-34'!G57)</f>
        <v>0</v>
      </c>
      <c r="C87" s="1575" t="s">
        <v>4400</v>
      </c>
    </row>
    <row r="88" spans="1:3" x14ac:dyDescent="0.25">
      <c r="A88" s="1468" t="s">
        <v>7104</v>
      </c>
      <c r="B88" s="1468">
        <f>IF('EBF Spending Plan 30-34'!G58="","",'EBF Spending Plan 30-34'!G58)</f>
        <v>0</v>
      </c>
      <c r="C88" s="1575" t="s">
        <v>4400</v>
      </c>
    </row>
    <row r="89" spans="1:3" x14ac:dyDescent="0.25">
      <c r="A89" s="1468" t="s">
        <v>7105</v>
      </c>
      <c r="B89" s="1468">
        <f>IF('EBF Spending Plan 30-34'!G59="","",'EBF Spending Plan 30-34'!G59)</f>
        <v>0</v>
      </c>
      <c r="C89" s="1575" t="s">
        <v>4400</v>
      </c>
    </row>
    <row r="90" spans="1:3" x14ac:dyDescent="0.25">
      <c r="A90" s="1468" t="s">
        <v>7106</v>
      </c>
      <c r="B90" s="1468">
        <f>IF('EBF Spending Plan 30-34'!G60="","",'EBF Spending Plan 30-34'!G60)</f>
        <v>0</v>
      </c>
      <c r="C90" s="1575" t="s">
        <v>4400</v>
      </c>
    </row>
    <row r="91" spans="1:3" x14ac:dyDescent="0.25">
      <c r="A91" s="1468" t="s">
        <v>7107</v>
      </c>
      <c r="B91" s="1468">
        <f>IF('EBF Spending Plan 30-34'!G61="","",'EBF Spending Plan 30-34'!G61)</f>
        <v>0</v>
      </c>
      <c r="C91" s="1575" t="s">
        <v>4400</v>
      </c>
    </row>
    <row r="92" spans="1:3" x14ac:dyDescent="0.25">
      <c r="A92" s="1468" t="s">
        <v>7108</v>
      </c>
      <c r="B92" s="1468">
        <f>IF('EBF Spending Plan 30-34'!G62="","",'EBF Spending Plan 30-34'!G62)</f>
        <v>0</v>
      </c>
      <c r="C92" s="1575" t="s">
        <v>4400</v>
      </c>
    </row>
    <row r="93" spans="1:3" x14ac:dyDescent="0.25">
      <c r="A93" s="1468" t="s">
        <v>7109</v>
      </c>
      <c r="B93" s="1468">
        <f>IF('EBF Spending Plan 30-34'!G63="","",'EBF Spending Plan 30-34'!G63)</f>
        <v>0</v>
      </c>
      <c r="C93" s="1575" t="s">
        <v>4400</v>
      </c>
    </row>
    <row r="94" spans="1:3" x14ac:dyDescent="0.25">
      <c r="A94" s="1468" t="s">
        <v>7110</v>
      </c>
      <c r="B94" s="1468">
        <f>IF('EBF Spending Plan 30-34'!G64="","",'EBF Spending Plan 30-34'!G64)</f>
        <v>0</v>
      </c>
      <c r="C94" s="1575" t="s">
        <v>4400</v>
      </c>
    </row>
    <row r="95" spans="1:3" x14ac:dyDescent="0.25">
      <c r="A95" s="1468" t="s">
        <v>7111</v>
      </c>
      <c r="B95" s="1468">
        <f>'EBF Spending Plan 30-34'!G65</f>
        <v>699419</v>
      </c>
      <c r="C95" s="1575" t="s">
        <v>4400</v>
      </c>
    </row>
    <row r="96" spans="1:3" x14ac:dyDescent="0.25">
      <c r="A96" s="1468" t="s">
        <v>7112</v>
      </c>
      <c r="B96" s="1468">
        <f>IF('EBF Spending Plan 30-34'!G66="","",'EBF Spending Plan 30-34'!G66)</f>
        <v>0</v>
      </c>
      <c r="C96" s="1575" t="s">
        <v>4400</v>
      </c>
    </row>
    <row r="97" spans="1:3" x14ac:dyDescent="0.25">
      <c r="A97" s="1468" t="s">
        <v>7113</v>
      </c>
      <c r="B97" s="1468">
        <f>IF('EBF Spending Plan 30-34'!G67="","",'EBF Spending Plan 30-34'!G67)</f>
        <v>12142</v>
      </c>
      <c r="C97" s="1575" t="s">
        <v>4400</v>
      </c>
    </row>
    <row r="98" spans="1:3" x14ac:dyDescent="0.25">
      <c r="A98" s="1468" t="s">
        <v>7114</v>
      </c>
      <c r="B98" s="1468">
        <f>IF('EBF Spending Plan 30-34'!G68="","",'EBF Spending Plan 30-34'!G68)</f>
        <v>0</v>
      </c>
      <c r="C98" s="1575" t="s">
        <v>4400</v>
      </c>
    </row>
    <row r="99" spans="1:3" x14ac:dyDescent="0.25">
      <c r="A99" s="1468" t="s">
        <v>7115</v>
      </c>
      <c r="B99" s="1468">
        <f>IF('EBF Spending Plan 30-34'!G69="","",'EBF Spending Plan 30-34'!G69)</f>
        <v>0</v>
      </c>
      <c r="C99" s="1575" t="s">
        <v>4400</v>
      </c>
    </row>
    <row r="100" spans="1:3" x14ac:dyDescent="0.25">
      <c r="A100" s="1468" t="s">
        <v>7116</v>
      </c>
      <c r="B100" s="1468">
        <f>IF('EBF Spending Plan 30-34'!G70="","",'EBF Spending Plan 30-34'!G70)</f>
        <v>0</v>
      </c>
      <c r="C100" s="1575" t="s">
        <v>4400</v>
      </c>
    </row>
    <row r="101" spans="1:3" x14ac:dyDescent="0.25">
      <c r="A101" s="1468" t="s">
        <v>7117</v>
      </c>
      <c r="B101" s="1468">
        <f>IF('EBF Spending Plan 30-34'!G71="","",'EBF Spending Plan 30-34'!G71)</f>
        <v>0</v>
      </c>
      <c r="C101" s="1575" t="s">
        <v>4400</v>
      </c>
    </row>
    <row r="102" spans="1:3" x14ac:dyDescent="0.25">
      <c r="A102" s="1468" t="s">
        <v>7118</v>
      </c>
      <c r="B102" s="1468">
        <f>IF('EBF Spending Plan 30-34'!G72="","",'EBF Spending Plan 30-34'!G72)</f>
        <v>0</v>
      </c>
      <c r="C102" s="1575" t="s">
        <v>4400</v>
      </c>
    </row>
    <row r="103" spans="1:3" x14ac:dyDescent="0.25">
      <c r="A103" s="1468" t="s">
        <v>7119</v>
      </c>
      <c r="B103" s="1468">
        <f>IF('EBF Spending Plan 30-34'!G73="","",'EBF Spending Plan 30-34'!G73)</f>
        <v>0</v>
      </c>
      <c r="C103" s="1575" t="s">
        <v>4400</v>
      </c>
    </row>
    <row r="104" spans="1:3" x14ac:dyDescent="0.25">
      <c r="A104" s="1468" t="s">
        <v>7120</v>
      </c>
      <c r="B104" s="1468">
        <f>IF('EBF Spending Plan 30-34'!G74="","",'EBF Spending Plan 30-34'!G74)</f>
        <v>0</v>
      </c>
      <c r="C104" s="1575" t="s">
        <v>4400</v>
      </c>
    </row>
    <row r="105" spans="1:3" x14ac:dyDescent="0.25">
      <c r="A105" s="1468" t="s">
        <v>7121</v>
      </c>
      <c r="B105" s="1468">
        <f>'EBF Spending Plan 30-34'!G75</f>
        <v>12142</v>
      </c>
      <c r="C105" s="1575" t="s">
        <v>4400</v>
      </c>
    </row>
    <row r="106" spans="1:3" x14ac:dyDescent="0.25">
      <c r="A106" s="1468" t="s">
        <v>7122</v>
      </c>
      <c r="B106" s="1468">
        <f>IF('EBF Spending Plan 30-34'!G76="","",'EBF Spending Plan 30-34'!G76)</f>
        <v>58240</v>
      </c>
      <c r="C106" s="1575" t="s">
        <v>4400</v>
      </c>
    </row>
    <row r="107" spans="1:3" x14ac:dyDescent="0.25">
      <c r="A107" s="1468" t="s">
        <v>7123</v>
      </c>
      <c r="B107" s="1468">
        <f>IF('EBF Spending Plan 30-34'!G77="","",'EBF Spending Plan 30-34'!G77)</f>
        <v>63411</v>
      </c>
      <c r="C107" s="1575" t="s">
        <v>4400</v>
      </c>
    </row>
    <row r="108" spans="1:3" x14ac:dyDescent="0.25">
      <c r="A108" s="1468" t="s">
        <v>7124</v>
      </c>
      <c r="B108" s="1468">
        <f>IF('EBF Spending Plan 30-34'!G78="","",'EBF Spending Plan 30-34'!G78)</f>
        <v>0</v>
      </c>
      <c r="C108" s="1575" t="s">
        <v>4400</v>
      </c>
    </row>
    <row r="109" spans="1:3" x14ac:dyDescent="0.25">
      <c r="A109" s="1468" t="s">
        <v>7125</v>
      </c>
      <c r="B109" s="1468">
        <f>IF('EBF Spending Plan 30-34'!G79="","",'EBF Spending Plan 30-34'!G79)</f>
        <v>0</v>
      </c>
      <c r="C109" s="1575" t="s">
        <v>4400</v>
      </c>
    </row>
    <row r="110" spans="1:3" x14ac:dyDescent="0.25">
      <c r="A110" s="1468" t="s">
        <v>7126</v>
      </c>
      <c r="B110" s="1468">
        <f>IF('EBF Spending Plan 30-34'!G80="","",'EBF Spending Plan 30-34'!G80)</f>
        <v>0</v>
      </c>
      <c r="C110" s="1575" t="s">
        <v>4400</v>
      </c>
    </row>
    <row r="111" spans="1:3" x14ac:dyDescent="0.25">
      <c r="A111" s="1468" t="s">
        <v>7127</v>
      </c>
      <c r="B111" s="1468">
        <f>IF('EBF Spending Plan 30-34'!G81="","",'EBF Spending Plan 30-34'!G81)</f>
        <v>0</v>
      </c>
      <c r="C111" s="1575" t="s">
        <v>4400</v>
      </c>
    </row>
    <row r="112" spans="1:3" x14ac:dyDescent="0.25">
      <c r="A112" s="1468" t="s">
        <v>7128</v>
      </c>
      <c r="B112" s="1468">
        <f>IF('EBF Spending Plan 30-34'!G82="","",'EBF Spending Plan 30-34'!G82)</f>
        <v>0</v>
      </c>
      <c r="C112" s="1575" t="s">
        <v>4400</v>
      </c>
    </row>
    <row r="113" spans="1:3" x14ac:dyDescent="0.25">
      <c r="A113" s="1468" t="s">
        <v>7129</v>
      </c>
      <c r="B113" s="1468">
        <f>IF('EBF Spending Plan 30-34'!G83="","",'EBF Spending Plan 30-34'!G83)</f>
        <v>0</v>
      </c>
      <c r="C113" s="1575" t="s">
        <v>4400</v>
      </c>
    </row>
    <row r="114" spans="1:3" x14ac:dyDescent="0.25">
      <c r="A114" s="1468" t="s">
        <v>7130</v>
      </c>
      <c r="B114" s="1468">
        <f>IF('EBF Spending Plan 30-34'!G84="","",'EBF Spending Plan 30-34'!G84)</f>
        <v>0</v>
      </c>
      <c r="C114" s="1575" t="s">
        <v>4400</v>
      </c>
    </row>
    <row r="115" spans="1:3" x14ac:dyDescent="0.25">
      <c r="A115" s="1468" t="s">
        <v>7131</v>
      </c>
      <c r="B115" s="1468">
        <f>IF('EBF Spending Plan 30-34'!G85="","",'EBF Spending Plan 30-34'!G85)</f>
        <v>0</v>
      </c>
      <c r="C115" s="1575" t="s">
        <v>4400</v>
      </c>
    </row>
    <row r="116" spans="1:3" x14ac:dyDescent="0.25">
      <c r="A116" s="1468" t="s">
        <v>7132</v>
      </c>
      <c r="B116" s="1468">
        <f>IF('EBF Spending Plan 30-34'!G86="","",'EBF Spending Plan 30-34'!G86)</f>
        <v>0</v>
      </c>
      <c r="C116" s="1575" t="s">
        <v>4400</v>
      </c>
    </row>
    <row r="117" spans="1:3" x14ac:dyDescent="0.25">
      <c r="A117" s="1468" t="s">
        <v>7133</v>
      </c>
      <c r="B117" s="1468">
        <f>IF('EBF Spending Plan 30-34'!G87="","",'EBF Spending Plan 30-34'!G87)</f>
        <v>0</v>
      </c>
      <c r="C117" s="1575" t="s">
        <v>4400</v>
      </c>
    </row>
    <row r="118" spans="1:3" x14ac:dyDescent="0.25">
      <c r="A118" s="1468" t="s">
        <v>7134</v>
      </c>
      <c r="B118" s="1468">
        <f>'EBF Spending Plan 30-34'!G88</f>
        <v>121651</v>
      </c>
      <c r="C118" s="1575" t="s">
        <v>4400</v>
      </c>
    </row>
    <row r="119" spans="1:3" x14ac:dyDescent="0.25">
      <c r="A119" s="1468" t="s">
        <v>7135</v>
      </c>
      <c r="B119" s="1468" t="str">
        <f>IF('EBF Spending Plan 30-34'!G89="","",'EBF Spending Plan 30-34'!G89)</f>
        <v/>
      </c>
      <c r="C119" s="1575" t="s">
        <v>4400</v>
      </c>
    </row>
    <row r="120" spans="1:3" x14ac:dyDescent="0.25">
      <c r="A120" s="1468" t="s">
        <v>7136</v>
      </c>
      <c r="B120" s="1468">
        <f>'EBF Spending Plan 30-34'!G90</f>
        <v>833212</v>
      </c>
      <c r="C120" s="1575" t="s">
        <v>4400</v>
      </c>
    </row>
    <row r="121" spans="1:3" x14ac:dyDescent="0.25">
      <c r="A121" s="1468" t="s">
        <v>7137</v>
      </c>
      <c r="B121" s="1468" t="str">
        <f>IF('EBF Spending Plan 30-34'!H52="","",'EBF Spending Plan 30-34'!H52)</f>
        <v/>
      </c>
      <c r="C121" s="1575" t="s">
        <v>4401</v>
      </c>
    </row>
    <row r="122" spans="1:3" x14ac:dyDescent="0.25">
      <c r="A122" s="1468" t="s">
        <v>7138</v>
      </c>
      <c r="B122" s="1468" t="str">
        <f>IF('EBF Spending Plan 30-34'!H53="","",'EBF Spending Plan 30-34'!H53)</f>
        <v/>
      </c>
      <c r="C122" s="1575" t="s">
        <v>4401</v>
      </c>
    </row>
    <row r="123" spans="1:3" x14ac:dyDescent="0.25">
      <c r="A123" s="1468" t="s">
        <v>7139</v>
      </c>
      <c r="B123" s="1468" t="str">
        <f>IF('EBF Spending Plan 30-34'!H54="","",'EBF Spending Plan 30-34'!H54)</f>
        <v/>
      </c>
      <c r="C123" s="1575" t="s">
        <v>4401</v>
      </c>
    </row>
    <row r="124" spans="1:3" x14ac:dyDescent="0.25">
      <c r="A124" s="1468" t="s">
        <v>7140</v>
      </c>
      <c r="B124" s="1468" t="str">
        <f>IF('EBF Spending Plan 30-34'!H55="","",'EBF Spending Plan 30-34'!H55)</f>
        <v/>
      </c>
      <c r="C124" s="1575" t="s">
        <v>4401</v>
      </c>
    </row>
    <row r="125" spans="1:3" x14ac:dyDescent="0.25">
      <c r="A125" s="1468" t="s">
        <v>7141</v>
      </c>
      <c r="B125" s="1468" t="str">
        <f>IF('EBF Spending Plan 30-34'!H56="","",'EBF Spending Plan 30-34'!H56)</f>
        <v/>
      </c>
      <c r="C125" s="1575" t="s">
        <v>4401</v>
      </c>
    </row>
    <row r="126" spans="1:3" x14ac:dyDescent="0.25">
      <c r="A126" s="1468" t="s">
        <v>7142</v>
      </c>
      <c r="B126" s="1468" t="str">
        <f>IF('EBF Spending Plan 30-34'!H57="","",'EBF Spending Plan 30-34'!H57)</f>
        <v/>
      </c>
      <c r="C126" s="1575" t="s">
        <v>4401</v>
      </c>
    </row>
    <row r="127" spans="1:3" x14ac:dyDescent="0.25">
      <c r="A127" s="1468" t="s">
        <v>7143</v>
      </c>
      <c r="B127" s="1468" t="str">
        <f>IF('EBF Spending Plan 30-34'!H58="","",'EBF Spending Plan 30-34'!H58)</f>
        <v/>
      </c>
      <c r="C127" s="1575" t="s">
        <v>4401</v>
      </c>
    </row>
    <row r="128" spans="1:3" x14ac:dyDescent="0.25">
      <c r="A128" s="1468" t="s">
        <v>7144</v>
      </c>
      <c r="B128" s="1468" t="str">
        <f>IF('EBF Spending Plan 30-34'!H59="","",'EBF Spending Plan 30-34'!H59)</f>
        <v/>
      </c>
      <c r="C128" s="1575" t="s">
        <v>4401</v>
      </c>
    </row>
    <row r="129" spans="1:3" x14ac:dyDescent="0.25">
      <c r="A129" s="1468" t="s">
        <v>7145</v>
      </c>
      <c r="B129" s="1468" t="str">
        <f>IF('EBF Spending Plan 30-34'!H60="","",'EBF Spending Plan 30-34'!H60)</f>
        <v/>
      </c>
      <c r="C129" s="1575" t="s">
        <v>4401</v>
      </c>
    </row>
    <row r="130" spans="1:3" x14ac:dyDescent="0.25">
      <c r="A130" s="1468" t="s">
        <v>7146</v>
      </c>
      <c r="B130" s="1468" t="str">
        <f>IF('EBF Spending Plan 30-34'!H61="","",'EBF Spending Plan 30-34'!H61)</f>
        <v/>
      </c>
      <c r="C130" s="1575" t="s">
        <v>4401</v>
      </c>
    </row>
    <row r="131" spans="1:3" x14ac:dyDescent="0.25">
      <c r="A131" s="1468" t="s">
        <v>7147</v>
      </c>
      <c r="B131" s="1468" t="str">
        <f>IF('EBF Spending Plan 30-34'!H62="","",'EBF Spending Plan 30-34'!H62)</f>
        <v/>
      </c>
      <c r="C131" s="1575" t="s">
        <v>4401</v>
      </c>
    </row>
    <row r="132" spans="1:3" x14ac:dyDescent="0.25">
      <c r="A132" s="1468" t="s">
        <v>7148</v>
      </c>
      <c r="B132" s="1468" t="str">
        <f>IF('EBF Spending Plan 30-34'!H63="","",'EBF Spending Plan 30-34'!H63)</f>
        <v/>
      </c>
      <c r="C132" s="1575" t="s">
        <v>4401</v>
      </c>
    </row>
    <row r="133" spans="1:3" x14ac:dyDescent="0.25">
      <c r="A133" s="1468" t="s">
        <v>7149</v>
      </c>
      <c r="B133" s="1468" t="str">
        <f>IF('EBF Spending Plan 30-34'!H64="","",'EBF Spending Plan 30-34'!H64)</f>
        <v/>
      </c>
      <c r="C133" s="1575" t="s">
        <v>4401</v>
      </c>
    </row>
    <row r="134" spans="1:3" x14ac:dyDescent="0.25">
      <c r="A134" s="1468" t="s">
        <v>7150</v>
      </c>
      <c r="B134" s="1468" t="str">
        <f>'EBF Spending Plan 30-34'!H65</f>
        <v/>
      </c>
      <c r="C134" s="1575" t="s">
        <v>4401</v>
      </c>
    </row>
    <row r="135" spans="1:3" x14ac:dyDescent="0.25">
      <c r="A135" s="1468" t="s">
        <v>7151</v>
      </c>
      <c r="B135" s="1468" t="str">
        <f>IF('EBF Spending Plan 30-34'!H66="","",'EBF Spending Plan 30-34'!H66)</f>
        <v/>
      </c>
      <c r="C135" s="1575" t="s">
        <v>4401</v>
      </c>
    </row>
    <row r="136" spans="1:3" x14ac:dyDescent="0.25">
      <c r="A136" s="1468" t="s">
        <v>7152</v>
      </c>
      <c r="B136" s="1468" t="str">
        <f>IF('EBF Spending Plan 30-34'!H67="","",'EBF Spending Plan 30-34'!H67)</f>
        <v/>
      </c>
      <c r="C136" s="1575" t="s">
        <v>4401</v>
      </c>
    </row>
    <row r="137" spans="1:3" x14ac:dyDescent="0.25">
      <c r="A137" s="1468" t="s">
        <v>7153</v>
      </c>
      <c r="B137" s="1468" t="str">
        <f>IF('EBF Spending Plan 30-34'!H68="","",'EBF Spending Plan 30-34'!H68)</f>
        <v/>
      </c>
      <c r="C137" s="1575" t="s">
        <v>4401</v>
      </c>
    </row>
    <row r="138" spans="1:3" x14ac:dyDescent="0.25">
      <c r="A138" s="1468" t="s">
        <v>7154</v>
      </c>
      <c r="B138" s="1468" t="str">
        <f>IF('EBF Spending Plan 30-34'!H69="","",'EBF Spending Plan 30-34'!H69)</f>
        <v/>
      </c>
      <c r="C138" s="1575" t="s">
        <v>4401</v>
      </c>
    </row>
    <row r="139" spans="1:3" x14ac:dyDescent="0.25">
      <c r="A139" s="1468" t="s">
        <v>7155</v>
      </c>
      <c r="B139" s="1468" t="str">
        <f>IF('EBF Spending Plan 30-34'!H70="","",'EBF Spending Plan 30-34'!H70)</f>
        <v/>
      </c>
      <c r="C139" s="1575" t="s">
        <v>4401</v>
      </c>
    </row>
    <row r="140" spans="1:3" x14ac:dyDescent="0.25">
      <c r="A140" s="1468" t="s">
        <v>7156</v>
      </c>
      <c r="B140" s="1468" t="str">
        <f>IF('EBF Spending Plan 30-34'!H71="","",'EBF Spending Plan 30-34'!H71)</f>
        <v/>
      </c>
      <c r="C140" s="1575" t="s">
        <v>4401</v>
      </c>
    </row>
    <row r="141" spans="1:3" x14ac:dyDescent="0.25">
      <c r="A141" s="1468" t="s">
        <v>7157</v>
      </c>
      <c r="B141" s="1468" t="str">
        <f>IF('EBF Spending Plan 30-34'!H72="","",'EBF Spending Plan 30-34'!H72)</f>
        <v/>
      </c>
      <c r="C141" s="1575" t="s">
        <v>4401</v>
      </c>
    </row>
    <row r="142" spans="1:3" x14ac:dyDescent="0.25">
      <c r="A142" s="1468" t="s">
        <v>7158</v>
      </c>
      <c r="B142" s="1468" t="str">
        <f>IF('EBF Spending Plan 30-34'!H73="","",'EBF Spending Plan 30-34'!H73)</f>
        <v/>
      </c>
      <c r="C142" s="1575" t="s">
        <v>4401</v>
      </c>
    </row>
    <row r="143" spans="1:3" x14ac:dyDescent="0.25">
      <c r="A143" s="1468" t="s">
        <v>7159</v>
      </c>
      <c r="B143" s="1468" t="str">
        <f>IF('EBF Spending Plan 30-34'!H74="","",'EBF Spending Plan 30-34'!H74)</f>
        <v/>
      </c>
      <c r="C143" s="1575" t="s">
        <v>4401</v>
      </c>
    </row>
    <row r="144" spans="1:3" x14ac:dyDescent="0.25">
      <c r="A144" s="1468" t="s">
        <v>7160</v>
      </c>
      <c r="B144" s="1468" t="str">
        <f>'EBF Spending Plan 30-34'!H75</f>
        <v/>
      </c>
      <c r="C144" s="1575" t="s">
        <v>4401</v>
      </c>
    </row>
    <row r="145" spans="1:3" x14ac:dyDescent="0.25">
      <c r="A145" s="1468" t="s">
        <v>7161</v>
      </c>
      <c r="B145" s="1468" t="str">
        <f>IF('EBF Spending Plan 30-34'!H76="","",'EBF Spending Plan 30-34'!H76)</f>
        <v/>
      </c>
      <c r="C145" s="1575" t="s">
        <v>4401</v>
      </c>
    </row>
    <row r="146" spans="1:3" x14ac:dyDescent="0.25">
      <c r="A146" s="1468" t="s">
        <v>7162</v>
      </c>
      <c r="B146" s="1468" t="str">
        <f>IF('EBF Spending Plan 30-34'!H77="","",'EBF Spending Plan 30-34'!H77)</f>
        <v/>
      </c>
      <c r="C146" s="1575" t="s">
        <v>4401</v>
      </c>
    </row>
    <row r="147" spans="1:3" x14ac:dyDescent="0.25">
      <c r="A147" s="1468" t="s">
        <v>7163</v>
      </c>
      <c r="B147" s="1468" t="str">
        <f>IF('EBF Spending Plan 30-34'!H78="","",'EBF Spending Plan 30-34'!H78)</f>
        <v/>
      </c>
      <c r="C147" s="1575" t="s">
        <v>4401</v>
      </c>
    </row>
    <row r="148" spans="1:3" x14ac:dyDescent="0.25">
      <c r="A148" s="1468" t="s">
        <v>7164</v>
      </c>
      <c r="B148" s="1468" t="str">
        <f>IF('EBF Spending Plan 30-34'!H79="","",'EBF Spending Plan 30-34'!H79)</f>
        <v/>
      </c>
      <c r="C148" s="1575" t="s">
        <v>4401</v>
      </c>
    </row>
    <row r="149" spans="1:3" x14ac:dyDescent="0.25">
      <c r="A149" s="1468" t="s">
        <v>7165</v>
      </c>
      <c r="B149" s="1468" t="str">
        <f>IF('EBF Spending Plan 30-34'!H80="","",'EBF Spending Plan 30-34'!H80)</f>
        <v/>
      </c>
      <c r="C149" s="1575" t="s">
        <v>4401</v>
      </c>
    </row>
    <row r="150" spans="1:3" x14ac:dyDescent="0.25">
      <c r="A150" s="1468" t="s">
        <v>7166</v>
      </c>
      <c r="B150" s="1468" t="str">
        <f>IF('EBF Spending Plan 30-34'!H81="","",'EBF Spending Plan 30-34'!H81)</f>
        <v/>
      </c>
      <c r="C150" s="1575" t="s">
        <v>4401</v>
      </c>
    </row>
    <row r="151" spans="1:3" x14ac:dyDescent="0.25">
      <c r="A151" s="1468" t="s">
        <v>7167</v>
      </c>
      <c r="B151" s="1468" t="str">
        <f>IF('EBF Spending Plan 30-34'!H82="","",'EBF Spending Plan 30-34'!H82)</f>
        <v/>
      </c>
      <c r="C151" s="1575" t="s">
        <v>4401</v>
      </c>
    </row>
    <row r="152" spans="1:3" x14ac:dyDescent="0.25">
      <c r="A152" s="1468" t="s">
        <v>7168</v>
      </c>
      <c r="B152" s="1468" t="str">
        <f>IF('EBF Spending Plan 30-34'!H83="","",'EBF Spending Plan 30-34'!H83)</f>
        <v/>
      </c>
      <c r="C152" s="1575" t="s">
        <v>4401</v>
      </c>
    </row>
    <row r="153" spans="1:3" x14ac:dyDescent="0.25">
      <c r="A153" s="1468" t="s">
        <v>7169</v>
      </c>
      <c r="B153" s="1468" t="str">
        <f>IF('EBF Spending Plan 30-34'!H84="","",'EBF Spending Plan 30-34'!H84)</f>
        <v/>
      </c>
      <c r="C153" s="1575" t="s">
        <v>4401</v>
      </c>
    </row>
    <row r="154" spans="1:3" x14ac:dyDescent="0.25">
      <c r="A154" s="1468" t="s">
        <v>7170</v>
      </c>
      <c r="B154" s="1468" t="str">
        <f>IF('EBF Spending Plan 30-34'!H85="","",'EBF Spending Plan 30-34'!H85)</f>
        <v/>
      </c>
      <c r="C154" s="1575" t="s">
        <v>4401</v>
      </c>
    </row>
    <row r="155" spans="1:3" x14ac:dyDescent="0.25">
      <c r="A155" s="1468" t="s">
        <v>7171</v>
      </c>
      <c r="B155" s="1468" t="str">
        <f>IF('EBF Spending Plan 30-34'!H86="","",'EBF Spending Plan 30-34'!H86)</f>
        <v/>
      </c>
      <c r="C155" s="1575" t="s">
        <v>4401</v>
      </c>
    </row>
    <row r="156" spans="1:3" x14ac:dyDescent="0.25">
      <c r="A156" s="1468" t="s">
        <v>7172</v>
      </c>
      <c r="B156" s="1468" t="str">
        <f>IF('EBF Spending Plan 30-34'!H87="","",'EBF Spending Plan 30-34'!H87)</f>
        <v/>
      </c>
      <c r="C156" s="1575" t="s">
        <v>4401</v>
      </c>
    </row>
    <row r="157" spans="1:3" x14ac:dyDescent="0.25">
      <c r="A157" s="1468" t="s">
        <v>7173</v>
      </c>
      <c r="B157" s="1468" t="str">
        <f>'EBF Spending Plan 30-34'!H88</f>
        <v/>
      </c>
      <c r="C157" s="1575" t="s">
        <v>4401</v>
      </c>
    </row>
    <row r="158" spans="1:3" x14ac:dyDescent="0.25">
      <c r="A158" s="1468" t="s">
        <v>7174</v>
      </c>
      <c r="B158" s="1468" t="str">
        <f>IF('EBF Spending Plan 30-34'!H89="","",'EBF Spending Plan 30-34'!H89)</f>
        <v/>
      </c>
      <c r="C158" s="1575" t="s">
        <v>4401</v>
      </c>
    </row>
    <row r="159" spans="1:3" x14ac:dyDescent="0.25">
      <c r="A159" s="1468" t="s">
        <v>7175</v>
      </c>
      <c r="B159" s="1468" t="str">
        <f>'EBF Spending Plan 30-34'!H90</f>
        <v/>
      </c>
      <c r="C159" s="1575" t="s">
        <v>4401</v>
      </c>
    </row>
    <row r="160" spans="1:3" x14ac:dyDescent="0.25">
      <c r="A160" s="1468" t="s">
        <v>7176</v>
      </c>
      <c r="B160" s="1468" t="str">
        <f>IF('EBF Spending Plan 30-34'!G93="","",'EBF Spending Plan 30-34'!G93)</f>
        <v/>
      </c>
      <c r="C160" s="1575" t="s">
        <v>4400</v>
      </c>
    </row>
    <row r="161" spans="1:3" x14ac:dyDescent="0.25">
      <c r="A161" s="1468" t="s">
        <v>7177</v>
      </c>
      <c r="B161" s="1468">
        <f>'EBF Spending Plan 30-34'!G100</f>
        <v>67000</v>
      </c>
      <c r="C161" s="1575" t="s">
        <v>4402</v>
      </c>
    </row>
    <row r="162" spans="1:3" x14ac:dyDescent="0.25">
      <c r="A162" s="1625" t="s">
        <v>7178</v>
      </c>
      <c r="B162" s="1468" t="str">
        <f>'EBF Spending Plan 30-34'!H100</f>
        <v>Estimated</v>
      </c>
      <c r="C162" s="1575"/>
    </row>
    <row r="163" spans="1:3" x14ac:dyDescent="0.25">
      <c r="A163" s="1625" t="s">
        <v>7179</v>
      </c>
      <c r="B163" s="1468">
        <f>'EBF Spending Plan 30-34'!G101</f>
        <v>0</v>
      </c>
      <c r="C163" s="1575" t="s">
        <v>4402</v>
      </c>
    </row>
    <row r="164" spans="1:3" x14ac:dyDescent="0.25">
      <c r="A164" s="1625" t="s">
        <v>7180</v>
      </c>
      <c r="B164" s="1468" t="str">
        <f>'EBF Spending Plan 30-34'!H101</f>
        <v>Estimated</v>
      </c>
      <c r="C164" s="1575"/>
    </row>
    <row r="165" spans="1:3" x14ac:dyDescent="0.25">
      <c r="A165" s="1625" t="s">
        <v>7181</v>
      </c>
      <c r="B165" s="1468">
        <f>'EBF Spending Plan 30-34'!G102</f>
        <v>225000</v>
      </c>
      <c r="C165" s="1575" t="s">
        <v>4402</v>
      </c>
    </row>
    <row r="166" spans="1:3" x14ac:dyDescent="0.25">
      <c r="A166" s="1625" t="s">
        <v>7182</v>
      </c>
      <c r="B166" s="1468" t="str">
        <f>'EBF Spending Plan 30-34'!H102</f>
        <v>Estimated</v>
      </c>
      <c r="C166" s="1575"/>
    </row>
    <row r="167" spans="1:3" x14ac:dyDescent="0.25">
      <c r="A167" s="1468" t="s">
        <v>7183</v>
      </c>
      <c r="B167" s="1468" t="str">
        <f>IF('EBF Spending Plan 30-34'!H104="","",'EBF Spending Plan 30-34'!H104)</f>
        <v>Yes</v>
      </c>
      <c r="C167" s="1575" t="s">
        <v>4402</v>
      </c>
    </row>
    <row r="168" spans="1:3" x14ac:dyDescent="0.25">
      <c r="A168" s="1468" t="s">
        <v>7184</v>
      </c>
      <c r="B168" s="1468">
        <f>IF('EBF Spending Plan 30-34'!G105="[Optional - Enter $]","",'EBF Spending Plan 30-34'!G105)</f>
        <v>67000</v>
      </c>
      <c r="C168" s="1575" t="s">
        <v>4402</v>
      </c>
    </row>
    <row r="169" spans="1:3" x14ac:dyDescent="0.25">
      <c r="A169" s="1468" t="s">
        <v>7185</v>
      </c>
      <c r="B169" s="1468" t="str">
        <f>IF('EBF Spending Plan 30-34'!H106="","",'EBF Spending Plan 30-34'!H106)</f>
        <v/>
      </c>
      <c r="C169" s="1575" t="s">
        <v>4402</v>
      </c>
    </row>
    <row r="170" spans="1:3" x14ac:dyDescent="0.25">
      <c r="A170" s="1468" t="s">
        <v>7186</v>
      </c>
      <c r="B170" s="1468">
        <f>IF('EBF Spending Plan 30-34'!G107="[Optional - Enter $]","",'EBF Spending Plan 30-34'!G107)</f>
        <v>0</v>
      </c>
      <c r="C170" s="1575" t="s">
        <v>4402</v>
      </c>
    </row>
    <row r="171" spans="1:3" x14ac:dyDescent="0.25">
      <c r="A171" s="1468" t="s">
        <v>7187</v>
      </c>
      <c r="B171" s="1468" t="str">
        <f>IF('EBF Spending Plan 30-34'!K104="","",'EBF Spending Plan 30-34'!K104)</f>
        <v/>
      </c>
      <c r="C171" s="1575" t="s">
        <v>4402</v>
      </c>
    </row>
    <row r="172" spans="1:3" x14ac:dyDescent="0.25">
      <c r="A172" s="1468" t="s">
        <v>7188</v>
      </c>
      <c r="B172" s="1468">
        <f>IF('EBF Spending Plan 30-34'!I105="[Optional - Enter $]","",'EBF Spending Plan 30-34'!I105)</f>
        <v>0</v>
      </c>
      <c r="C172" s="1575" t="s">
        <v>4402</v>
      </c>
    </row>
    <row r="173" spans="1:3" x14ac:dyDescent="0.25">
      <c r="A173" s="1468" t="s">
        <v>7189</v>
      </c>
      <c r="B173" s="1468" t="str">
        <f>IF('EBF Spending Plan 30-34'!K106="","",'EBF Spending Plan 30-34'!K106)</f>
        <v/>
      </c>
      <c r="C173" s="1575" t="s">
        <v>4402</v>
      </c>
    </row>
    <row r="174" spans="1:3" x14ac:dyDescent="0.25">
      <c r="A174" s="1468" t="s">
        <v>7190</v>
      </c>
      <c r="B174" s="1468">
        <f>IF('EBF Spending Plan 30-34'!I107="[Optional - Enter $]","",'EBF Spending Plan 30-34'!I107)</f>
        <v>0</v>
      </c>
      <c r="C174" s="1575" t="s">
        <v>4402</v>
      </c>
    </row>
    <row r="175" spans="1:3" x14ac:dyDescent="0.25">
      <c r="A175" s="1468" t="s">
        <v>7191</v>
      </c>
      <c r="B175" s="1468" t="str">
        <f>IF('EBF Spending Plan 30-34'!M104="","",'EBF Spending Plan 30-34'!M104)</f>
        <v/>
      </c>
      <c r="C175" s="1575" t="s">
        <v>4402</v>
      </c>
    </row>
    <row r="176" spans="1:3" x14ac:dyDescent="0.25">
      <c r="A176" s="1468" t="s">
        <v>7192</v>
      </c>
      <c r="B176" s="1468">
        <f>IF('EBF Spending Plan 30-34'!L105="[Optional - Enter $]","",'EBF Spending Plan 30-34'!L105)</f>
        <v>0</v>
      </c>
      <c r="C176" s="1575" t="s">
        <v>4402</v>
      </c>
    </row>
    <row r="177" spans="1:3" x14ac:dyDescent="0.25">
      <c r="A177" s="1468" t="s">
        <v>7193</v>
      </c>
      <c r="B177" s="1468" t="str">
        <f>IF('EBF Spending Plan 30-34'!G108="","",'EBF Spending Plan 30-34'!G108)</f>
        <v xml:space="preserve">As a result of the pandemic, our interventionists will play a critical role in addressing individual academic needs.  </v>
      </c>
      <c r="C177" s="1575" t="s">
        <v>4402</v>
      </c>
    </row>
    <row r="178" spans="1:3" x14ac:dyDescent="0.25">
      <c r="A178" s="1468" t="s">
        <v>7194</v>
      </c>
      <c r="B178" s="1468" t="str">
        <f>IF('EBF Spending Plan 30-34'!H111="","",'EBF Spending Plan 30-34'!H111)</f>
        <v/>
      </c>
      <c r="C178" s="1575" t="s">
        <v>4402</v>
      </c>
    </row>
    <row r="179" spans="1:3" x14ac:dyDescent="0.25">
      <c r="A179" s="1468" t="s">
        <v>7195</v>
      </c>
      <c r="B179" s="1468">
        <f>IF('EBF Spending Plan 30-34'!G112="[Optional - Enter $]","",'EBF Spending Plan 30-34'!G112)</f>
        <v>0</v>
      </c>
      <c r="C179" s="1575" t="s">
        <v>4402</v>
      </c>
    </row>
    <row r="180" spans="1:3" x14ac:dyDescent="0.25">
      <c r="A180" s="1468" t="s">
        <v>7196</v>
      </c>
      <c r="B180" s="1468" t="str">
        <f>IF('EBF Spending Plan 30-34'!H113="","",'EBF Spending Plan 30-34'!H113)</f>
        <v>Yes</v>
      </c>
      <c r="C180" s="1575" t="s">
        <v>4402</v>
      </c>
    </row>
    <row r="181" spans="1:3" x14ac:dyDescent="0.25">
      <c r="A181" s="1468" t="s">
        <v>7197</v>
      </c>
      <c r="B181" s="1468">
        <f>IF('EBF Spending Plan 30-34'!G114="[Optional - Enter $]","",'EBF Spending Plan 30-34'!G114)</f>
        <v>6700</v>
      </c>
      <c r="C181" s="1575" t="s">
        <v>4402</v>
      </c>
    </row>
    <row r="182" spans="1:3" x14ac:dyDescent="0.25">
      <c r="A182" s="1468" t="s">
        <v>7198</v>
      </c>
      <c r="B182" s="1468" t="str">
        <f>IF('EBF Spending Plan 30-34'!K111="","",'EBF Spending Plan 30-34'!K111)</f>
        <v/>
      </c>
      <c r="C182" s="1575" t="s">
        <v>4402</v>
      </c>
    </row>
    <row r="183" spans="1:3" x14ac:dyDescent="0.25">
      <c r="A183" s="1468" t="s">
        <v>7199</v>
      </c>
      <c r="B183" s="1468">
        <f>IF('EBF Spending Plan 30-34'!I112="[Optional - Enter $]","",'EBF Spending Plan 30-34'!I112)</f>
        <v>0</v>
      </c>
      <c r="C183" s="1575" t="s">
        <v>4402</v>
      </c>
    </row>
    <row r="184" spans="1:3" x14ac:dyDescent="0.25">
      <c r="A184" s="1468" t="s">
        <v>7200</v>
      </c>
      <c r="B184" s="1468" t="str">
        <f>IF('EBF Spending Plan 30-34'!K113="","",'EBF Spending Plan 30-34'!K113)</f>
        <v/>
      </c>
      <c r="C184" s="1575" t="s">
        <v>4402</v>
      </c>
    </row>
    <row r="185" spans="1:3" x14ac:dyDescent="0.25">
      <c r="A185" s="1468" t="s">
        <v>7201</v>
      </c>
      <c r="B185" s="1468">
        <f>IF('EBF Spending Plan 30-34'!I114="[Optional - Enter $]","",'EBF Spending Plan 30-34'!I114)</f>
        <v>0</v>
      </c>
      <c r="C185" s="1575" t="s">
        <v>4402</v>
      </c>
    </row>
    <row r="186" spans="1:3" x14ac:dyDescent="0.25">
      <c r="A186" s="1468" t="s">
        <v>7202</v>
      </c>
      <c r="B186" s="1468" t="str">
        <f>IF('EBF Spending Plan 30-34'!M111="","",'EBF Spending Plan 30-34'!M111)</f>
        <v/>
      </c>
      <c r="C186" s="1575" t="s">
        <v>4402</v>
      </c>
    </row>
    <row r="187" spans="1:3" x14ac:dyDescent="0.25">
      <c r="A187" s="1468" t="s">
        <v>7203</v>
      </c>
      <c r="B187" s="1468">
        <f>IF('EBF Spending Plan 30-34'!L112="[Optional - Enter $]","",'EBF Spending Plan 30-34'!L112)</f>
        <v>0</v>
      </c>
      <c r="C187" s="1575" t="s">
        <v>4402</v>
      </c>
    </row>
    <row r="188" spans="1:3" x14ac:dyDescent="0.25">
      <c r="A188" s="1468" t="s">
        <v>7204</v>
      </c>
      <c r="B188" s="1468" t="str">
        <f>IF('EBF Spending Plan 30-34'!M113="","",'EBF Spending Plan 30-34'!M113)</f>
        <v/>
      </c>
      <c r="C188" s="1575" t="s">
        <v>4402</v>
      </c>
    </row>
    <row r="189" spans="1:3" x14ac:dyDescent="0.25">
      <c r="A189" s="1468" t="s">
        <v>7205</v>
      </c>
      <c r="B189" s="1468">
        <f>IF('EBF Spending Plan 30-34'!L114="[Optional - Enter $]","",'EBF Spending Plan 30-34'!L114)</f>
        <v>0</v>
      </c>
      <c r="C189" s="1575" t="s">
        <v>4402</v>
      </c>
    </row>
    <row r="190" spans="1:3" x14ac:dyDescent="0.25">
      <c r="A190" s="1468" t="s">
        <v>7206</v>
      </c>
      <c r="B190" s="1468" t="str">
        <f>IF('EBF Spending Plan 30-34'!G115="","",'EBF Spending Plan 30-34'!G115)</f>
        <v xml:space="preserve">We will local dollars for any English Learners </v>
      </c>
      <c r="C190" s="1575" t="s">
        <v>4402</v>
      </c>
    </row>
    <row r="191" spans="1:3" x14ac:dyDescent="0.25">
      <c r="A191" s="1468" t="s">
        <v>7207</v>
      </c>
      <c r="B191" s="1468" t="str">
        <f>IF('EBF Spending Plan 30-34'!H118="","",'EBF Spending Plan 30-34'!H118)</f>
        <v/>
      </c>
      <c r="C191" s="1575" t="s">
        <v>4402</v>
      </c>
    </row>
    <row r="192" spans="1:3" x14ac:dyDescent="0.25">
      <c r="A192" s="1468" t="s">
        <v>7208</v>
      </c>
      <c r="B192" s="1468">
        <f>IF('EBF Spending Plan 30-34'!G119="[Optional - Enter $]","",'EBF Spending Plan 30-34'!G119)</f>
        <v>0</v>
      </c>
      <c r="C192" s="1575" t="s">
        <v>4402</v>
      </c>
    </row>
    <row r="193" spans="1:3" x14ac:dyDescent="0.25">
      <c r="A193" s="1468" t="s">
        <v>7209</v>
      </c>
      <c r="B193" s="1468" t="str">
        <f>IF('EBF Spending Plan 30-34'!H120="","",'EBF Spending Plan 30-34'!H120)</f>
        <v>Yes</v>
      </c>
      <c r="C193" s="1575" t="s">
        <v>4402</v>
      </c>
    </row>
    <row r="194" spans="1:3" x14ac:dyDescent="0.25">
      <c r="A194" s="1468" t="s">
        <v>7210</v>
      </c>
      <c r="B194" s="1468">
        <f>IF('EBF Spending Plan 30-34'!G121="[Optional - Enter $]","",'EBF Spending Plan 30-34'!G121)</f>
        <v>12700</v>
      </c>
      <c r="C194" s="1575" t="s">
        <v>4402</v>
      </c>
    </row>
    <row r="195" spans="1:3" x14ac:dyDescent="0.25">
      <c r="A195" s="1468" t="s">
        <v>7211</v>
      </c>
      <c r="B195" s="1468" t="str">
        <f>IF('EBF Spending Plan 30-34'!K118="","",'EBF Spending Plan 30-34'!K118)</f>
        <v/>
      </c>
      <c r="C195" s="1575" t="s">
        <v>4402</v>
      </c>
    </row>
    <row r="196" spans="1:3" x14ac:dyDescent="0.25">
      <c r="A196" s="1468" t="s">
        <v>7212</v>
      </c>
      <c r="B196" s="1468">
        <f>IF('EBF Spending Plan 30-34'!I119="[Optional - Enter $]","",'EBF Spending Plan 30-34'!I119)</f>
        <v>15000</v>
      </c>
      <c r="C196" s="1575" t="s">
        <v>4402</v>
      </c>
    </row>
    <row r="197" spans="1:3" x14ac:dyDescent="0.25">
      <c r="A197" s="1468" t="s">
        <v>7213</v>
      </c>
      <c r="B197" s="1468" t="str">
        <f>IF('EBF Spending Plan 30-34'!K120="","",'EBF Spending Plan 30-34'!K120)</f>
        <v/>
      </c>
      <c r="C197" s="1575" t="s">
        <v>4402</v>
      </c>
    </row>
    <row r="198" spans="1:3" x14ac:dyDescent="0.25">
      <c r="A198" s="1468" t="s">
        <v>7214</v>
      </c>
      <c r="B198" s="1468">
        <f>IF('EBF Spending Plan 30-34'!I121="[Optional - Enter $]","",'EBF Spending Plan 30-34'!I121)</f>
        <v>0</v>
      </c>
      <c r="C198" s="1575" t="s">
        <v>4402</v>
      </c>
    </row>
    <row r="199" spans="1:3" x14ac:dyDescent="0.25">
      <c r="A199" s="1468" t="s">
        <v>7215</v>
      </c>
      <c r="B199" s="1468" t="str">
        <f>IF('EBF Spending Plan 30-34'!G122="","",'EBF Spending Plan 30-34'!G122)</f>
        <v xml:space="preserve">Special Education Assistant hired </v>
      </c>
      <c r="C199" s="1575" t="s">
        <v>4402</v>
      </c>
    </row>
    <row r="200" spans="1:3" x14ac:dyDescent="0.25">
      <c r="A200" s="1468" t="s">
        <v>7216</v>
      </c>
      <c r="B200" s="1468" t="str">
        <f>IF('EBF Spending Plan 30-34'!E130="","",'EBF Spending Plan 30-34'!E130)</f>
        <v>Yes</v>
      </c>
      <c r="C200" s="1575" t="s">
        <v>4386</v>
      </c>
    </row>
    <row r="201" spans="1:3" x14ac:dyDescent="0.25">
      <c r="A201" s="1468" t="s">
        <v>7217</v>
      </c>
      <c r="B201" s="1468" t="str">
        <f>IF('EBF Spending Plan 30-34'!E133="","",'EBF Spending Plan 30-34'!E133)</f>
        <v>No</v>
      </c>
      <c r="C201" s="1575" t="s">
        <v>4386</v>
      </c>
    </row>
    <row r="202" spans="1:3" x14ac:dyDescent="0.25">
      <c r="A202" s="1468" t="s">
        <v>7218</v>
      </c>
      <c r="B202" s="1468" t="str">
        <f>IF('EBF Spending Plan 30-34'!E135="","",'EBF Spending Plan 30-34'!E135)</f>
        <v>Yes</v>
      </c>
      <c r="C202" s="1575" t="s">
        <v>4386</v>
      </c>
    </row>
    <row r="203" spans="1:3" x14ac:dyDescent="0.25">
      <c r="A203" s="1468" t="s">
        <v>7219</v>
      </c>
      <c r="B203" s="1537">
        <f>IF('EBF Spending Plan 30-34'!F137="","",'EBF Spending Plan 30-34'!F137)</f>
        <v>45194</v>
      </c>
      <c r="C203" s="1575" t="s">
        <v>4386</v>
      </c>
    </row>
    <row r="204" spans="1:3" x14ac:dyDescent="0.25">
      <c r="A204" s="1468" t="s">
        <v>7220</v>
      </c>
      <c r="B204" s="1468" t="str">
        <f>IF('EBF Spending Plan 30-34'!F138="","",'EBF Spending Plan 30-34'!F138)</f>
        <v xml:space="preserve">Tracy Planeta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1"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Grant Park CUSD 6</v>
      </c>
      <c r="E1" s="2" t="b">
        <f ca="1">F1=B1</f>
        <v>1</v>
      </c>
      <c r="F1" s="2" t="str" cm="1">
        <f t="array" aca="1" ref="F1" ca="1">IF(G1&lt;&gt;"",INDIRECT("'"&amp;G1&amp;"'!"&amp;H1),"")</f>
        <v>Grant Park CUSD 6</v>
      </c>
      <c r="G1" s="1582" t="s">
        <v>4407</v>
      </c>
      <c r="H1" s="2" t="s">
        <v>4408</v>
      </c>
      <c r="J1" t="str">
        <f ca="1">IF(COUNTIF(E:E,"FALSE")&lt;&gt;0,"Problem",IF(COUNTIF(E:E,"#REF!")&lt;&gt;0,"Problem","All Good"))</f>
        <v>All Good</v>
      </c>
      <c r="L1" s="622" t="s">
        <v>1912</v>
      </c>
      <c r="M1" s="622"/>
    </row>
    <row r="2" spans="1:19" ht="15.75" x14ac:dyDescent="0.25">
      <c r="A2" t="s">
        <v>76</v>
      </c>
      <c r="B2" s="7" t="str">
        <f>Cover!H14</f>
        <v>32046006026</v>
      </c>
      <c r="E2" s="2" t="b">
        <f t="shared" ref="E2:E65" ca="1" si="0">F2=B2</f>
        <v>1</v>
      </c>
      <c r="F2" s="2" t="str" cm="1">
        <f t="array" aca="1" ref="F2" ca="1">IF(G2&lt;&gt;"",INDIRECT("'"&amp;G2&amp;"'!"&amp;H2),"")</f>
        <v>32046006026</v>
      </c>
      <c r="G2" s="1582" t="s">
        <v>4407</v>
      </c>
      <c r="H2" s="2" t="s">
        <v>4409</v>
      </c>
      <c r="L2" s="620">
        <v>2024</v>
      </c>
      <c r="M2" s="620"/>
    </row>
    <row r="3" spans="1:19" x14ac:dyDescent="0.2">
      <c r="A3" t="s">
        <v>297</v>
      </c>
      <c r="B3" s="10" t="str">
        <f>Cover!B6</f>
        <v>x</v>
      </c>
      <c r="E3" s="2" t="b">
        <f t="shared" ca="1" si="0"/>
        <v>1</v>
      </c>
      <c r="F3" s="2" t="str" cm="1">
        <f t="array" aca="1" ref="F3" ca="1">IF(G3&lt;&gt;"",INDIRECT("'"&amp;G3&amp;"'!"&amp;H3),"")</f>
        <v>x</v>
      </c>
      <c r="G3" s="1582" t="s">
        <v>4407</v>
      </c>
      <c r="H3" s="2" t="s">
        <v>4410</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6958</v>
      </c>
      <c r="H6" s="2" t="s">
        <v>4411</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6958</v>
      </c>
      <c r="H7" s="2" t="s">
        <v>4412</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6958</v>
      </c>
      <c r="H8" s="2" t="s">
        <v>4413</v>
      </c>
      <c r="I8" s="4"/>
      <c r="J8" s="4"/>
      <c r="K8" s="4"/>
    </row>
    <row r="9" spans="1:19" x14ac:dyDescent="0.2">
      <c r="A9">
        <v>4</v>
      </c>
      <c r="B9" s="7">
        <f>'BudgetSum 2-4'!F18</f>
        <v>0</v>
      </c>
      <c r="C9" s="3">
        <f t="shared" si="1"/>
        <v>4</v>
      </c>
      <c r="E9" s="2" t="b">
        <f t="shared" ca="1" si="0"/>
        <v>1</v>
      </c>
      <c r="F9" s="2" cm="1">
        <f t="array" aca="1" ref="F9" ca="1">IF(G9&lt;&gt;"",INDIRECT("'"&amp;G9&amp;"'!"&amp;H9),"")</f>
        <v>0</v>
      </c>
      <c r="G9" s="1582" t="s">
        <v>6958</v>
      </c>
      <c r="H9" s="2" t="s">
        <v>4414</v>
      </c>
      <c r="L9" s="1401"/>
    </row>
    <row r="10" spans="1:19" x14ac:dyDescent="0.2">
      <c r="A10">
        <v>5</v>
      </c>
      <c r="B10" s="7">
        <f>'BudgetSum 2-4'!G18</f>
        <v>0</v>
      </c>
      <c r="C10" s="3">
        <f t="shared" si="1"/>
        <v>5</v>
      </c>
      <c r="E10" s="2" t="b">
        <f t="shared" ca="1" si="0"/>
        <v>1</v>
      </c>
      <c r="F10" s="2" cm="1">
        <f t="array" aca="1" ref="F10" ca="1">IF(G10&lt;&gt;"",INDIRECT("'"&amp;G10&amp;"'!"&amp;H10),"")</f>
        <v>0</v>
      </c>
      <c r="G10" s="1582" t="s">
        <v>6958</v>
      </c>
      <c r="H10" s="2" t="s">
        <v>4415</v>
      </c>
    </row>
    <row r="11" spans="1:19" x14ac:dyDescent="0.2">
      <c r="A11" s="2">
        <v>6</v>
      </c>
      <c r="B11" s="7">
        <f>'BudgetSum 2-4'!H18</f>
        <v>0</v>
      </c>
      <c r="C11" s="3">
        <f t="shared" si="1"/>
        <v>6</v>
      </c>
      <c r="D11" s="4"/>
      <c r="E11" s="2" t="b">
        <f t="shared" ca="1" si="0"/>
        <v>1</v>
      </c>
      <c r="F11" s="2" cm="1">
        <f t="array" aca="1" ref="F11" ca="1">IF(G11&lt;&gt;"",INDIRECT("'"&amp;G11&amp;"'!"&amp;H11),"")</f>
        <v>0</v>
      </c>
      <c r="G11" s="1582" t="s">
        <v>6958</v>
      </c>
      <c r="H11" s="2" t="s">
        <v>4416</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6958</v>
      </c>
      <c r="H12" s="2" t="s">
        <v>4417</v>
      </c>
      <c r="I12" s="4"/>
      <c r="J12" s="4"/>
      <c r="K12" s="4"/>
    </row>
    <row r="13" spans="1:19" x14ac:dyDescent="0.2">
      <c r="A13">
        <v>8</v>
      </c>
      <c r="B13" s="8">
        <f>'CashSum 5'!C4</f>
        <v>5486500</v>
      </c>
      <c r="C13" s="3">
        <f t="shared" si="1"/>
        <v>-5486492</v>
      </c>
      <c r="E13" s="2" t="b">
        <f t="shared" ca="1" si="0"/>
        <v>1</v>
      </c>
      <c r="F13" s="2" cm="1">
        <f t="array" aca="1" ref="F13" ca="1">IF(G13&lt;&gt;"",INDIRECT("'"&amp;G13&amp;"'!"&amp;H13),"")</f>
        <v>5486500</v>
      </c>
      <c r="G13" s="1582" t="s">
        <v>6959</v>
      </c>
      <c r="H13" s="2" t="s">
        <v>4418</v>
      </c>
      <c r="S13" s="8"/>
    </row>
    <row r="14" spans="1:19" x14ac:dyDescent="0.2">
      <c r="A14">
        <v>9</v>
      </c>
      <c r="B14" s="8">
        <f>'CashSum 5'!C7</f>
        <v>0</v>
      </c>
      <c r="C14" s="3">
        <f t="shared" si="1"/>
        <v>9</v>
      </c>
      <c r="E14" s="2" t="b">
        <f t="shared" ca="1" si="0"/>
        <v>1</v>
      </c>
      <c r="F14" s="2" cm="1">
        <f t="array" aca="1" ref="F14" ca="1">IF(G14&lt;&gt;"",INDIRECT("'"&amp;G14&amp;"'!"&amp;H14),"")</f>
        <v>0</v>
      </c>
      <c r="G14" s="1582" t="s">
        <v>6959</v>
      </c>
      <c r="H14" s="2" t="s">
        <v>4419</v>
      </c>
      <c r="S14" s="8"/>
    </row>
    <row r="15" spans="1:19" x14ac:dyDescent="0.2">
      <c r="A15" s="2">
        <v>10</v>
      </c>
      <c r="B15" s="8">
        <f>'CashSum 5'!C10</f>
        <v>0</v>
      </c>
      <c r="C15" s="3">
        <f t="shared" si="1"/>
        <v>10</v>
      </c>
      <c r="D15" s="4"/>
      <c r="E15" s="2" t="b">
        <f t="shared" ca="1" si="0"/>
        <v>1</v>
      </c>
      <c r="F15" s="2" cm="1">
        <f t="array" aca="1" ref="F15" ca="1">IF(G15&lt;&gt;"",INDIRECT("'"&amp;G15&amp;"'!"&amp;H15),"")</f>
        <v>0</v>
      </c>
      <c r="G15" s="1582" t="s">
        <v>6959</v>
      </c>
      <c r="H15" s="2" t="s">
        <v>4420</v>
      </c>
      <c r="I15" s="4"/>
      <c r="J15" s="4"/>
      <c r="K15" s="4"/>
      <c r="S15" s="8"/>
    </row>
    <row r="16" spans="1:19" x14ac:dyDescent="0.2">
      <c r="A16">
        <v>11</v>
      </c>
      <c r="B16" s="8">
        <f>'CashSum 5'!C11</f>
        <v>5486500</v>
      </c>
      <c r="C16" s="3">
        <f t="shared" si="1"/>
        <v>-5486489</v>
      </c>
      <c r="E16" s="2" t="b">
        <f t="shared" ca="1" si="0"/>
        <v>1</v>
      </c>
      <c r="F16" s="2" cm="1">
        <f t="array" aca="1" ref="F16" ca="1">IF(G16&lt;&gt;"",INDIRECT("'"&amp;G16&amp;"'!"&amp;H16),"")</f>
        <v>5486500</v>
      </c>
      <c r="G16" s="1582" t="s">
        <v>6959</v>
      </c>
      <c r="H16" s="2" t="s">
        <v>4421</v>
      </c>
      <c r="L16" s="1401"/>
      <c r="S16" s="8"/>
    </row>
    <row r="17" spans="1:19" x14ac:dyDescent="0.2">
      <c r="A17">
        <v>12</v>
      </c>
      <c r="B17" s="8">
        <f>'CashSum 5'!C12</f>
        <v>11423382</v>
      </c>
      <c r="C17" s="3">
        <f t="shared" si="1"/>
        <v>-11423370</v>
      </c>
      <c r="E17" s="2" t="b">
        <f t="shared" ca="1" si="0"/>
        <v>1</v>
      </c>
      <c r="F17" s="2" cm="1">
        <f t="array" aca="1" ref="F17" ca="1">IF(G17&lt;&gt;"",INDIRECT("'"&amp;G17&amp;"'!"&amp;H17),"")</f>
        <v>11423382</v>
      </c>
      <c r="G17" s="1582" t="s">
        <v>6959</v>
      </c>
      <c r="H17" s="2" t="s">
        <v>4422</v>
      </c>
      <c r="S17" s="8"/>
    </row>
    <row r="18" spans="1:19" x14ac:dyDescent="0.2">
      <c r="A18" s="2">
        <v>13</v>
      </c>
      <c r="B18" s="8">
        <f>'CashSum 5'!C13</f>
        <v>5486500</v>
      </c>
      <c r="C18" s="3">
        <f t="shared" si="1"/>
        <v>-5486487</v>
      </c>
      <c r="D18" s="4"/>
      <c r="E18" s="2" t="b">
        <f t="shared" ca="1" si="0"/>
        <v>1</v>
      </c>
      <c r="F18" s="2" cm="1">
        <f t="array" aca="1" ref="F18" ca="1">IF(G18&lt;&gt;"",INDIRECT("'"&amp;G18&amp;"'!"&amp;H18),"")</f>
        <v>5486500</v>
      </c>
      <c r="G18" s="1582" t="s">
        <v>6959</v>
      </c>
      <c r="H18" s="2" t="s">
        <v>4423</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6959</v>
      </c>
      <c r="H19" s="2" t="s">
        <v>4424</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6959</v>
      </c>
      <c r="H20" s="2" t="s">
        <v>4425</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6959</v>
      </c>
      <c r="H22" s="2" t="s">
        <v>4426</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6959</v>
      </c>
      <c r="H23" s="2" t="s">
        <v>4427</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6959</v>
      </c>
      <c r="H26" s="2" t="s">
        <v>4411</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6959</v>
      </c>
      <c r="H27" s="2" t="s">
        <v>4428</v>
      </c>
      <c r="S27" s="8"/>
    </row>
    <row r="28" spans="1:19" x14ac:dyDescent="0.2">
      <c r="A28">
        <v>23</v>
      </c>
      <c r="B28" s="8">
        <f>'CashSum 5'!C20</f>
        <v>5486500</v>
      </c>
      <c r="C28" s="3">
        <f t="shared" si="1"/>
        <v>-5486477</v>
      </c>
      <c r="E28" s="2" t="b">
        <f t="shared" ca="1" si="0"/>
        <v>1</v>
      </c>
      <c r="F28" s="2" cm="1">
        <f t="array" aca="1" ref="F28" ca="1">IF(G28&lt;&gt;"",INDIRECT("'"&amp;G28&amp;"'!"&amp;H28),"")</f>
        <v>5486500</v>
      </c>
      <c r="G28" s="1582" t="s">
        <v>6959</v>
      </c>
      <c r="H28" s="2" t="s">
        <v>4429</v>
      </c>
      <c r="S28" s="8"/>
    </row>
    <row r="29" spans="1:19" x14ac:dyDescent="0.2">
      <c r="A29">
        <v>24</v>
      </c>
      <c r="B29" s="8">
        <f>'CashSum 5'!C21</f>
        <v>5936882</v>
      </c>
      <c r="C29" s="3">
        <f t="shared" si="1"/>
        <v>-5936858</v>
      </c>
      <c r="E29" s="2" t="b">
        <f t="shared" ca="1" si="0"/>
        <v>1</v>
      </c>
      <c r="F29" s="2" cm="1">
        <f t="array" aca="1" ref="F29" ca="1">IF(G29&lt;&gt;"",INDIRECT("'"&amp;G29&amp;"'!"&amp;H29),"")</f>
        <v>5936882</v>
      </c>
      <c r="G29" s="1582" t="s">
        <v>6959</v>
      </c>
      <c r="H29" s="2" t="s">
        <v>4430</v>
      </c>
      <c r="S29" s="8"/>
    </row>
    <row r="30" spans="1:19" x14ac:dyDescent="0.2">
      <c r="A30">
        <v>25</v>
      </c>
      <c r="B30" s="8">
        <f>'CashSum 5'!D4</f>
        <v>650781</v>
      </c>
      <c r="C30" s="3">
        <f t="shared" si="1"/>
        <v>-650756</v>
      </c>
      <c r="E30" s="2" t="b">
        <f t="shared" ca="1" si="0"/>
        <v>1</v>
      </c>
      <c r="F30" s="2" cm="1">
        <f t="array" aca="1" ref="F30" ca="1">IF(G30&lt;&gt;"",INDIRECT("'"&amp;G30&amp;"'!"&amp;H30),"")</f>
        <v>650781</v>
      </c>
      <c r="G30" s="1582" t="s">
        <v>6959</v>
      </c>
      <c r="H30" s="2" t="s">
        <v>4431</v>
      </c>
      <c r="S30" s="8"/>
    </row>
    <row r="31" spans="1:19" x14ac:dyDescent="0.2">
      <c r="A31" s="2">
        <v>26</v>
      </c>
      <c r="B31" s="8">
        <f>'CashSum 5'!D7</f>
        <v>0</v>
      </c>
      <c r="C31" s="3">
        <f t="shared" si="1"/>
        <v>26</v>
      </c>
      <c r="D31" s="4"/>
      <c r="E31" s="2" t="b">
        <f t="shared" ca="1" si="0"/>
        <v>1</v>
      </c>
      <c r="F31" s="2" cm="1">
        <f t="array" aca="1" ref="F31" ca="1">IF(G31&lt;&gt;"",INDIRECT("'"&amp;G31&amp;"'!"&amp;H31),"")</f>
        <v>0</v>
      </c>
      <c r="G31" s="1582" t="s">
        <v>6959</v>
      </c>
      <c r="H31" s="2" t="s">
        <v>4432</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6959</v>
      </c>
      <c r="H32" s="2" t="s">
        <v>4433</v>
      </c>
      <c r="S32" s="8"/>
    </row>
    <row r="33" spans="1:19" x14ac:dyDescent="0.2">
      <c r="A33">
        <v>28</v>
      </c>
      <c r="B33" s="8">
        <f>'CashSum 5'!D11</f>
        <v>650781</v>
      </c>
      <c r="C33" s="3">
        <f t="shared" si="1"/>
        <v>-650753</v>
      </c>
      <c r="E33" s="2" t="b">
        <f t="shared" ca="1" si="0"/>
        <v>1</v>
      </c>
      <c r="F33" s="2" cm="1">
        <f t="array" aca="1" ref="F33" ca="1">IF(G33&lt;&gt;"",INDIRECT("'"&amp;G33&amp;"'!"&amp;H33),"")</f>
        <v>650781</v>
      </c>
      <c r="G33" s="1582" t="s">
        <v>6959</v>
      </c>
      <c r="H33" s="2" t="s">
        <v>4434</v>
      </c>
      <c r="S33" s="8"/>
    </row>
    <row r="34" spans="1:19" x14ac:dyDescent="0.2">
      <c r="A34" s="2">
        <v>29</v>
      </c>
      <c r="B34" s="8">
        <f>'CashSum 5'!D12</f>
        <v>1760343</v>
      </c>
      <c r="C34" s="3">
        <f t="shared" si="1"/>
        <v>-1760314</v>
      </c>
      <c r="D34" s="4"/>
      <c r="E34" s="2" t="b">
        <f t="shared" ca="1" si="0"/>
        <v>1</v>
      </c>
      <c r="F34" s="2" cm="1">
        <f t="array" aca="1" ref="F34" ca="1">IF(G34&lt;&gt;"",INDIRECT("'"&amp;G34&amp;"'!"&amp;H34),"")</f>
        <v>1760343</v>
      </c>
      <c r="G34" s="1582" t="s">
        <v>6959</v>
      </c>
      <c r="H34" s="2" t="s">
        <v>4435</v>
      </c>
      <c r="I34" s="4"/>
      <c r="J34" s="4"/>
      <c r="K34" s="4"/>
      <c r="S34" s="8"/>
    </row>
    <row r="35" spans="1:19" x14ac:dyDescent="0.2">
      <c r="A35">
        <v>30</v>
      </c>
      <c r="B35" s="8">
        <f>'CashSum 5'!D13</f>
        <v>650781</v>
      </c>
      <c r="C35" s="3">
        <f t="shared" si="1"/>
        <v>-650751</v>
      </c>
      <c r="E35" s="2" t="b">
        <f t="shared" ca="1" si="0"/>
        <v>1</v>
      </c>
      <c r="F35" s="2" cm="1">
        <f t="array" aca="1" ref="F35" ca="1">IF(G35&lt;&gt;"",INDIRECT("'"&amp;G35&amp;"'!"&amp;H35),"")</f>
        <v>650781</v>
      </c>
      <c r="G35" s="1582" t="s">
        <v>6959</v>
      </c>
      <c r="H35" s="2" t="s">
        <v>4436</v>
      </c>
      <c r="S35" s="8"/>
    </row>
    <row r="36" spans="1:19" x14ac:dyDescent="0.2">
      <c r="A36">
        <v>31</v>
      </c>
      <c r="B36" s="8">
        <f>'CashSum 5'!D15</f>
        <v>0</v>
      </c>
      <c r="C36" s="3">
        <f t="shared" si="1"/>
        <v>31</v>
      </c>
      <c r="E36" s="2" t="b">
        <f t="shared" ca="1" si="0"/>
        <v>1</v>
      </c>
      <c r="F36" s="2" cm="1">
        <f t="array" aca="1" ref="F36" ca="1">IF(G36&lt;&gt;"",INDIRECT("'"&amp;G36&amp;"'!"&amp;H36),"")</f>
        <v>0</v>
      </c>
      <c r="G36" s="1582" t="s">
        <v>6959</v>
      </c>
      <c r="H36" s="2" t="s">
        <v>4437</v>
      </c>
      <c r="S36" s="8"/>
    </row>
    <row r="37" spans="1:19" x14ac:dyDescent="0.2">
      <c r="A37">
        <v>32</v>
      </c>
      <c r="B37" s="8">
        <f>'CashSum 5'!D16</f>
        <v>0</v>
      </c>
      <c r="C37" s="3">
        <f t="shared" si="1"/>
        <v>32</v>
      </c>
      <c r="E37" s="2" t="b">
        <f t="shared" ca="1" si="0"/>
        <v>1</v>
      </c>
      <c r="F37" s="2" cm="1">
        <f t="array" aca="1" ref="F37" ca="1">IF(G37&lt;&gt;"",INDIRECT("'"&amp;G37&amp;"'!"&amp;H37),"")</f>
        <v>0</v>
      </c>
      <c r="G37" s="1582" t="s">
        <v>6959</v>
      </c>
      <c r="H37" s="2" t="s">
        <v>4438</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6959</v>
      </c>
      <c r="H39" s="2" t="s">
        <v>4439</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6959</v>
      </c>
      <c r="H43" s="2" t="s">
        <v>4412</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6959</v>
      </c>
      <c r="H44" s="2" t="s">
        <v>4440</v>
      </c>
      <c r="I44" s="4"/>
      <c r="J44" s="4"/>
      <c r="K44" s="4"/>
      <c r="S44" s="8"/>
    </row>
    <row r="45" spans="1:19" x14ac:dyDescent="0.2">
      <c r="A45">
        <v>40</v>
      </c>
      <c r="B45" s="8">
        <f>'CashSum 5'!D20</f>
        <v>650781</v>
      </c>
      <c r="C45" s="3">
        <f t="shared" si="1"/>
        <v>-650741</v>
      </c>
      <c r="E45" s="2" t="b">
        <f t="shared" ca="1" si="0"/>
        <v>1</v>
      </c>
      <c r="F45" s="2" cm="1">
        <f t="array" aca="1" ref="F45" ca="1">IF(G45&lt;&gt;"",INDIRECT("'"&amp;G45&amp;"'!"&amp;H45),"")</f>
        <v>650781</v>
      </c>
      <c r="G45" s="1582" t="s">
        <v>6959</v>
      </c>
      <c r="H45" s="2" t="s">
        <v>4441</v>
      </c>
      <c r="S45" s="8"/>
    </row>
    <row r="46" spans="1:19" x14ac:dyDescent="0.2">
      <c r="A46">
        <v>41</v>
      </c>
      <c r="B46" s="8">
        <f>'CashSum 5'!D21</f>
        <v>1109562</v>
      </c>
      <c r="C46" s="3">
        <f t="shared" si="1"/>
        <v>-1109521</v>
      </c>
      <c r="E46" s="2" t="b">
        <f t="shared" ca="1" si="0"/>
        <v>1</v>
      </c>
      <c r="F46" s="2" cm="1">
        <f t="array" aca="1" ref="F46" ca="1">IF(G46&lt;&gt;"",INDIRECT("'"&amp;G46&amp;"'!"&amp;H46),"")</f>
        <v>1109562</v>
      </c>
      <c r="G46" s="1582" t="s">
        <v>6959</v>
      </c>
      <c r="H46" s="2" t="s">
        <v>4442</v>
      </c>
      <c r="S46" s="8"/>
    </row>
    <row r="47" spans="1:19" x14ac:dyDescent="0.2">
      <c r="A47" s="2">
        <v>42</v>
      </c>
      <c r="B47" s="8">
        <f>'CashSum 5'!E4</f>
        <v>0</v>
      </c>
      <c r="C47" s="3">
        <f t="shared" si="1"/>
        <v>42</v>
      </c>
      <c r="D47" s="4"/>
      <c r="E47" s="2" t="b">
        <f t="shared" ca="1" si="0"/>
        <v>1</v>
      </c>
      <c r="F47" s="2" cm="1">
        <f t="array" aca="1" ref="F47" ca="1">IF(G47&lt;&gt;"",INDIRECT("'"&amp;G47&amp;"'!"&amp;H47),"")</f>
        <v>0</v>
      </c>
      <c r="G47" s="1582" t="s">
        <v>6959</v>
      </c>
      <c r="H47" s="2" t="s">
        <v>4443</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6959</v>
      </c>
      <c r="H48" s="2" t="s">
        <v>4444</v>
      </c>
      <c r="S48" s="8"/>
    </row>
    <row r="49" spans="1:19" x14ac:dyDescent="0.2">
      <c r="A49">
        <v>44</v>
      </c>
      <c r="B49" s="8">
        <f>'CashSum 5'!E11</f>
        <v>0</v>
      </c>
      <c r="C49" s="3">
        <f t="shared" si="1"/>
        <v>44</v>
      </c>
      <c r="E49" s="2" t="b">
        <f t="shared" ca="1" si="0"/>
        <v>1</v>
      </c>
      <c r="F49" s="2" cm="1">
        <f t="array" aca="1" ref="F49" ca="1">IF(G49&lt;&gt;"",INDIRECT("'"&amp;G49&amp;"'!"&amp;H49),"")</f>
        <v>0</v>
      </c>
      <c r="G49" s="1582" t="s">
        <v>6959</v>
      </c>
      <c r="H49" s="2" t="s">
        <v>4445</v>
      </c>
      <c r="S49" s="8"/>
    </row>
    <row r="50" spans="1:19" x14ac:dyDescent="0.2">
      <c r="A50" s="2">
        <v>45</v>
      </c>
      <c r="B50" s="8">
        <f>'CashSum 5'!E12</f>
        <v>140269</v>
      </c>
      <c r="C50" s="3">
        <f t="shared" si="1"/>
        <v>-140224</v>
      </c>
      <c r="D50" s="4"/>
      <c r="E50" s="2" t="b">
        <f t="shared" ca="1" si="0"/>
        <v>1</v>
      </c>
      <c r="F50" s="2" cm="1">
        <f t="array" aca="1" ref="F50" ca="1">IF(G50&lt;&gt;"",INDIRECT("'"&amp;G50&amp;"'!"&amp;H50),"")</f>
        <v>140269</v>
      </c>
      <c r="G50" s="1582" t="s">
        <v>6959</v>
      </c>
      <c r="H50" s="2" t="s">
        <v>4446</v>
      </c>
      <c r="I50" s="4"/>
      <c r="J50" s="4"/>
      <c r="K50" s="4"/>
      <c r="S50" s="8"/>
    </row>
    <row r="51" spans="1:19" x14ac:dyDescent="0.2">
      <c r="A51" s="2">
        <v>46</v>
      </c>
      <c r="B51" s="8">
        <f>'CashSum 5'!E13</f>
        <v>0</v>
      </c>
      <c r="C51" s="3">
        <f t="shared" si="1"/>
        <v>46</v>
      </c>
      <c r="D51" s="4"/>
      <c r="E51" s="2" t="b">
        <f t="shared" ca="1" si="0"/>
        <v>1</v>
      </c>
      <c r="F51" s="2" cm="1">
        <f t="array" aca="1" ref="F51" ca="1">IF(G51&lt;&gt;"",INDIRECT("'"&amp;G51&amp;"'!"&amp;H51),"")</f>
        <v>0</v>
      </c>
      <c r="G51" s="1582" t="s">
        <v>6959</v>
      </c>
      <c r="H51" s="2" t="s">
        <v>4447</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6959</v>
      </c>
      <c r="H52" s="2" t="s">
        <v>4448</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6959</v>
      </c>
      <c r="H55" s="2" t="s">
        <v>4449</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6959</v>
      </c>
      <c r="H57" s="2" t="s">
        <v>4413</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6959</v>
      </c>
      <c r="H58" s="2" t="s">
        <v>4450</v>
      </c>
      <c r="S58" s="8"/>
    </row>
    <row r="59" spans="1:19" x14ac:dyDescent="0.2">
      <c r="A59">
        <v>54</v>
      </c>
      <c r="B59" s="8">
        <f>'CashSum 5'!E20</f>
        <v>0</v>
      </c>
      <c r="C59" s="3">
        <f t="shared" si="1"/>
        <v>54</v>
      </c>
      <c r="E59" s="2" t="b">
        <f t="shared" ca="1" si="0"/>
        <v>1</v>
      </c>
      <c r="F59" s="2" cm="1">
        <f t="array" aca="1" ref="F59" ca="1">IF(G59&lt;&gt;"",INDIRECT("'"&amp;G59&amp;"'!"&amp;H59),"")</f>
        <v>0</v>
      </c>
      <c r="G59" s="1582" t="s">
        <v>6959</v>
      </c>
      <c r="H59" s="2" t="s">
        <v>4451</v>
      </c>
      <c r="S59" s="8"/>
    </row>
    <row r="60" spans="1:19" x14ac:dyDescent="0.2">
      <c r="A60">
        <v>55</v>
      </c>
      <c r="B60" s="8">
        <f>'CashSum 5'!E21</f>
        <v>140269</v>
      </c>
      <c r="C60" s="3">
        <f t="shared" si="1"/>
        <v>-140214</v>
      </c>
      <c r="E60" s="2" t="b">
        <f t="shared" ca="1" si="0"/>
        <v>1</v>
      </c>
      <c r="F60" s="2" cm="1">
        <f t="array" aca="1" ref="F60" ca="1">IF(G60&lt;&gt;"",INDIRECT("'"&amp;G60&amp;"'!"&amp;H60),"")</f>
        <v>140269</v>
      </c>
      <c r="G60" s="1582" t="s">
        <v>6959</v>
      </c>
      <c r="H60" s="2" t="s">
        <v>4452</v>
      </c>
      <c r="S60" s="8"/>
    </row>
    <row r="61" spans="1:19" x14ac:dyDescent="0.2">
      <c r="A61">
        <v>56</v>
      </c>
      <c r="B61" s="8">
        <f>'CashSum 5'!F4</f>
        <v>313000</v>
      </c>
      <c r="C61" s="3">
        <f t="shared" si="1"/>
        <v>-312944</v>
      </c>
      <c r="E61" s="2" t="b">
        <f t="shared" ca="1" si="0"/>
        <v>1</v>
      </c>
      <c r="F61" s="2" cm="1">
        <f t="array" aca="1" ref="F61" ca="1">IF(G61&lt;&gt;"",INDIRECT("'"&amp;G61&amp;"'!"&amp;H61),"")</f>
        <v>313000</v>
      </c>
      <c r="G61" s="1582" t="s">
        <v>6959</v>
      </c>
      <c r="H61" s="2" t="s">
        <v>4453</v>
      </c>
      <c r="S61" s="8"/>
    </row>
    <row r="62" spans="1:19" x14ac:dyDescent="0.2">
      <c r="A62" s="2">
        <v>57</v>
      </c>
      <c r="B62" s="8">
        <f>'CashSum 5'!F7</f>
        <v>0</v>
      </c>
      <c r="C62" s="3">
        <f t="shared" si="1"/>
        <v>57</v>
      </c>
      <c r="D62" s="4"/>
      <c r="E62" s="2" t="b">
        <f t="shared" ca="1" si="0"/>
        <v>1</v>
      </c>
      <c r="F62" s="2" cm="1">
        <f t="array" aca="1" ref="F62" ca="1">IF(G62&lt;&gt;"",INDIRECT("'"&amp;G62&amp;"'!"&amp;H62),"")</f>
        <v>0</v>
      </c>
      <c r="G62" s="1582" t="s">
        <v>6959</v>
      </c>
      <c r="H62" s="2" t="s">
        <v>4454</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6959</v>
      </c>
      <c r="H63" s="2" t="s">
        <v>4455</v>
      </c>
      <c r="S63" s="8"/>
    </row>
    <row r="64" spans="1:19" x14ac:dyDescent="0.2">
      <c r="A64">
        <v>59</v>
      </c>
      <c r="B64" s="8">
        <f>'CashSum 5'!F11</f>
        <v>313000</v>
      </c>
      <c r="C64" s="3">
        <f t="shared" si="1"/>
        <v>-312941</v>
      </c>
      <c r="E64" s="2" t="b">
        <f t="shared" ca="1" si="0"/>
        <v>1</v>
      </c>
      <c r="F64" s="2" cm="1">
        <f t="array" aca="1" ref="F64" ca="1">IF(G64&lt;&gt;"",INDIRECT("'"&amp;G64&amp;"'!"&amp;H64),"")</f>
        <v>313000</v>
      </c>
      <c r="G64" s="1582" t="s">
        <v>6959</v>
      </c>
      <c r="H64" s="2" t="s">
        <v>4456</v>
      </c>
      <c r="S64" s="8"/>
    </row>
    <row r="65" spans="1:19" x14ac:dyDescent="0.2">
      <c r="A65" s="2">
        <v>60</v>
      </c>
      <c r="B65" s="8">
        <f>'CashSum 5'!F12</f>
        <v>802804</v>
      </c>
      <c r="C65" s="3">
        <f t="shared" si="1"/>
        <v>-802744</v>
      </c>
      <c r="D65" s="4"/>
      <c r="E65" s="2" t="b">
        <f t="shared" ca="1" si="0"/>
        <v>1</v>
      </c>
      <c r="F65" s="2" cm="1">
        <f t="array" aca="1" ref="F65" ca="1">IF(G65&lt;&gt;"",INDIRECT("'"&amp;G65&amp;"'!"&amp;H65),"")</f>
        <v>802804</v>
      </c>
      <c r="G65" s="1582" t="s">
        <v>6959</v>
      </c>
      <c r="H65" s="2" t="s">
        <v>4457</v>
      </c>
      <c r="I65" s="4"/>
      <c r="J65" s="4"/>
      <c r="K65" s="4"/>
      <c r="S65" s="8"/>
    </row>
    <row r="66" spans="1:19" x14ac:dyDescent="0.2">
      <c r="A66">
        <v>61</v>
      </c>
      <c r="B66" s="8">
        <f>'CashSum 5'!F13</f>
        <v>354000</v>
      </c>
      <c r="C66" s="3">
        <f t="shared" si="1"/>
        <v>-353939</v>
      </c>
      <c r="E66" s="2" t="b">
        <f t="shared" ref="E66:E129" ca="1" si="2">F66=B66</f>
        <v>1</v>
      </c>
      <c r="F66" s="2" cm="1">
        <f t="array" aca="1" ref="F66" ca="1">IF(G66&lt;&gt;"",INDIRECT("'"&amp;G66&amp;"'!"&amp;H66),"")</f>
        <v>354000</v>
      </c>
      <c r="G66" s="1582" t="s">
        <v>6959</v>
      </c>
      <c r="H66" s="2" t="s">
        <v>4458</v>
      </c>
      <c r="S66" s="8"/>
    </row>
    <row r="67" spans="1:19" x14ac:dyDescent="0.2">
      <c r="A67">
        <v>62</v>
      </c>
      <c r="B67" s="8">
        <f>'CashSum 5'!F15</f>
        <v>0</v>
      </c>
      <c r="C67" s="3">
        <f t="shared" si="1"/>
        <v>62</v>
      </c>
      <c r="E67" s="2" t="b">
        <f t="shared" ca="1" si="2"/>
        <v>1</v>
      </c>
      <c r="F67" s="2" cm="1">
        <f t="array" aca="1" ref="F67" ca="1">IF(G67&lt;&gt;"",INDIRECT("'"&amp;G67&amp;"'!"&amp;H67),"")</f>
        <v>0</v>
      </c>
      <c r="G67" s="1582" t="s">
        <v>6959</v>
      </c>
      <c r="H67" s="2" t="s">
        <v>4459</v>
      </c>
      <c r="S67" s="8"/>
    </row>
    <row r="68" spans="1:19" x14ac:dyDescent="0.2">
      <c r="A68">
        <v>63</v>
      </c>
      <c r="B68" s="8">
        <f>'CashSum 5'!F16</f>
        <v>0</v>
      </c>
      <c r="C68" s="3">
        <f t="shared" si="1"/>
        <v>63</v>
      </c>
      <c r="E68" s="2" t="b">
        <f t="shared" ca="1" si="2"/>
        <v>1</v>
      </c>
      <c r="F68" s="2" cm="1">
        <f t="array" aca="1" ref="F68" ca="1">IF(G68&lt;&gt;"",INDIRECT("'"&amp;G68&amp;"'!"&amp;H68),"")</f>
        <v>0</v>
      </c>
      <c r="G68" s="1582" t="s">
        <v>6959</v>
      </c>
      <c r="H68" s="2" t="s">
        <v>4460</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6959</v>
      </c>
      <c r="H70" s="2" t="s">
        <v>4461</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6959</v>
      </c>
      <c r="H74" s="2" t="s">
        <v>4414</v>
      </c>
      <c r="S74" s="8"/>
    </row>
    <row r="75" spans="1:19" x14ac:dyDescent="0.2">
      <c r="A75">
        <v>70</v>
      </c>
      <c r="B75" s="8">
        <f>'CashSum 5'!F19</f>
        <v>0</v>
      </c>
      <c r="C75" s="3">
        <f t="shared" si="3"/>
        <v>70</v>
      </c>
      <c r="E75" s="2" t="b">
        <f t="shared" ca="1" si="2"/>
        <v>1</v>
      </c>
      <c r="F75" s="2" cm="1">
        <f t="array" aca="1" ref="F75" ca="1">IF(G75&lt;&gt;"",INDIRECT("'"&amp;G75&amp;"'!"&amp;H75),"")</f>
        <v>0</v>
      </c>
      <c r="G75" s="1582" t="s">
        <v>6959</v>
      </c>
      <c r="H75" s="2" t="s">
        <v>4462</v>
      </c>
      <c r="S75" s="8"/>
    </row>
    <row r="76" spans="1:19" x14ac:dyDescent="0.2">
      <c r="A76">
        <v>71</v>
      </c>
      <c r="B76" s="8">
        <f>'CashSum 5'!F20</f>
        <v>354000</v>
      </c>
      <c r="C76" s="3">
        <f t="shared" si="3"/>
        <v>-353929</v>
      </c>
      <c r="E76" s="2" t="b">
        <f t="shared" ca="1" si="2"/>
        <v>1</v>
      </c>
      <c r="F76" s="2" cm="1">
        <f t="array" aca="1" ref="F76" ca="1">IF(G76&lt;&gt;"",INDIRECT("'"&amp;G76&amp;"'!"&amp;H76),"")</f>
        <v>354000</v>
      </c>
      <c r="G76" s="1582" t="s">
        <v>6959</v>
      </c>
      <c r="H76" s="2" t="s">
        <v>4463</v>
      </c>
      <c r="S76" s="8"/>
    </row>
    <row r="77" spans="1:19" x14ac:dyDescent="0.2">
      <c r="A77">
        <v>72</v>
      </c>
      <c r="B77" s="8">
        <f>'CashSum 5'!F21</f>
        <v>448804</v>
      </c>
      <c r="C77" s="3">
        <f t="shared" si="3"/>
        <v>-448732</v>
      </c>
      <c r="E77" s="2" t="b">
        <f t="shared" ca="1" si="2"/>
        <v>1</v>
      </c>
      <c r="F77" s="2" cm="1">
        <f t="array" aca="1" ref="F77" ca="1">IF(G77&lt;&gt;"",INDIRECT("'"&amp;G77&amp;"'!"&amp;H77),"")</f>
        <v>448804</v>
      </c>
      <c r="G77" s="1582" t="s">
        <v>6959</v>
      </c>
      <c r="H77" s="2" t="s">
        <v>4464</v>
      </c>
      <c r="S77" s="8"/>
    </row>
    <row r="78" spans="1:19" x14ac:dyDescent="0.2">
      <c r="A78">
        <v>73</v>
      </c>
      <c r="B78" s="8">
        <f>'CashSum 5'!G4</f>
        <v>206000</v>
      </c>
      <c r="C78" s="3">
        <f t="shared" si="3"/>
        <v>-205927</v>
      </c>
      <c r="E78" s="2" t="b">
        <f t="shared" ca="1" si="2"/>
        <v>1</v>
      </c>
      <c r="F78" s="2" cm="1">
        <f t="array" aca="1" ref="F78" ca="1">IF(G78&lt;&gt;"",INDIRECT("'"&amp;G78&amp;"'!"&amp;H78),"")</f>
        <v>206000</v>
      </c>
      <c r="G78" s="1582" t="s">
        <v>6959</v>
      </c>
      <c r="H78" s="2" t="s">
        <v>4465</v>
      </c>
      <c r="S78" s="8"/>
    </row>
    <row r="79" spans="1:19" x14ac:dyDescent="0.2">
      <c r="A79">
        <v>74</v>
      </c>
      <c r="B79" s="8">
        <f>'CashSum 5'!G10</f>
        <v>0</v>
      </c>
      <c r="C79" s="3">
        <f t="shared" si="3"/>
        <v>74</v>
      </c>
      <c r="E79" s="2" t="b">
        <f t="shared" ca="1" si="2"/>
        <v>1</v>
      </c>
      <c r="F79" s="2" cm="1">
        <f t="array" aca="1" ref="F79" ca="1">IF(G79&lt;&gt;"",INDIRECT("'"&amp;G79&amp;"'!"&amp;H79),"")</f>
        <v>0</v>
      </c>
      <c r="G79" s="1582" t="s">
        <v>6959</v>
      </c>
      <c r="H79" s="2" t="s">
        <v>4466</v>
      </c>
      <c r="S79" s="8"/>
    </row>
    <row r="80" spans="1:19" x14ac:dyDescent="0.2">
      <c r="A80" s="2">
        <v>75</v>
      </c>
      <c r="B80" s="8">
        <f>'CashSum 5'!G11</f>
        <v>206000</v>
      </c>
      <c r="C80" s="3">
        <f t="shared" si="3"/>
        <v>-205925</v>
      </c>
      <c r="D80" s="4"/>
      <c r="E80" s="2" t="b">
        <f t="shared" ca="1" si="2"/>
        <v>1</v>
      </c>
      <c r="F80" s="2" cm="1">
        <f t="array" aca="1" ref="F80" ca="1">IF(G80&lt;&gt;"",INDIRECT("'"&amp;G80&amp;"'!"&amp;H80),"")</f>
        <v>206000</v>
      </c>
      <c r="G80" s="1582" t="s">
        <v>6959</v>
      </c>
      <c r="H80" s="2" t="s">
        <v>4467</v>
      </c>
      <c r="I80" s="4"/>
      <c r="J80" s="4"/>
      <c r="K80" s="4"/>
      <c r="S80" s="8"/>
    </row>
    <row r="81" spans="1:19" x14ac:dyDescent="0.2">
      <c r="A81" s="2">
        <v>76</v>
      </c>
      <c r="B81" s="8">
        <f>'CashSum 5'!G12</f>
        <v>359257</v>
      </c>
      <c r="C81" s="3">
        <f t="shared" si="3"/>
        <v>-359181</v>
      </c>
      <c r="D81" s="4"/>
      <c r="E81" s="2" t="b">
        <f t="shared" ca="1" si="2"/>
        <v>1</v>
      </c>
      <c r="F81" s="2" cm="1">
        <f t="array" aca="1" ref="F81" ca="1">IF(G81&lt;&gt;"",INDIRECT("'"&amp;G81&amp;"'!"&amp;H81),"")</f>
        <v>359257</v>
      </c>
      <c r="G81" s="1582" t="s">
        <v>6959</v>
      </c>
      <c r="H81" s="2" t="s">
        <v>4468</v>
      </c>
      <c r="I81" s="4"/>
      <c r="J81" s="4"/>
      <c r="K81" s="4"/>
      <c r="S81" s="8"/>
    </row>
    <row r="82" spans="1:19" x14ac:dyDescent="0.2">
      <c r="A82" s="2">
        <v>77</v>
      </c>
      <c r="B82" s="8">
        <f>'CashSum 5'!G13</f>
        <v>206000</v>
      </c>
      <c r="C82" s="3">
        <f t="shared" si="3"/>
        <v>-205923</v>
      </c>
      <c r="D82" s="4"/>
      <c r="E82" s="2" t="b">
        <f t="shared" ca="1" si="2"/>
        <v>1</v>
      </c>
      <c r="F82" s="2" cm="1">
        <f t="array" aca="1" ref="F82" ca="1">IF(G82&lt;&gt;"",INDIRECT("'"&amp;G82&amp;"'!"&amp;H82),"")</f>
        <v>206000</v>
      </c>
      <c r="G82" s="1582" t="s">
        <v>6959</v>
      </c>
      <c r="H82" s="2" t="s">
        <v>4469</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6959</v>
      </c>
      <c r="H83" s="2" t="s">
        <v>4470</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6959</v>
      </c>
      <c r="H85" s="2" t="s">
        <v>4471</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6959</v>
      </c>
      <c r="H88" s="2" t="s">
        <v>4415</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6959</v>
      </c>
      <c r="H89" s="2" t="s">
        <v>4472</v>
      </c>
      <c r="S89" s="8"/>
    </row>
    <row r="90" spans="1:19" x14ac:dyDescent="0.2">
      <c r="A90">
        <v>85</v>
      </c>
      <c r="B90" s="8">
        <f>'CashSum 5'!G20</f>
        <v>206000</v>
      </c>
      <c r="C90" s="3">
        <f t="shared" si="3"/>
        <v>-205915</v>
      </c>
      <c r="E90" s="2" t="b">
        <f t="shared" ca="1" si="2"/>
        <v>1</v>
      </c>
      <c r="F90" s="2" cm="1">
        <f t="array" aca="1" ref="F90" ca="1">IF(G90&lt;&gt;"",INDIRECT("'"&amp;G90&amp;"'!"&amp;H90),"")</f>
        <v>206000</v>
      </c>
      <c r="G90" s="1582" t="s">
        <v>6959</v>
      </c>
      <c r="H90" s="2" t="s">
        <v>4473</v>
      </c>
      <c r="S90" s="8"/>
    </row>
    <row r="91" spans="1:19" x14ac:dyDescent="0.2">
      <c r="A91" s="2">
        <v>86</v>
      </c>
      <c r="B91" s="8">
        <f>'CashSum 5'!G21</f>
        <v>153257</v>
      </c>
      <c r="C91" s="3">
        <f t="shared" si="3"/>
        <v>-153171</v>
      </c>
      <c r="D91" s="4"/>
      <c r="E91" s="2" t="b">
        <f t="shared" ca="1" si="2"/>
        <v>1</v>
      </c>
      <c r="F91" s="2" cm="1">
        <f t="array" aca="1" ref="F91" ca="1">IF(G91&lt;&gt;"",INDIRECT("'"&amp;G91&amp;"'!"&amp;H91),"")</f>
        <v>153257</v>
      </c>
      <c r="G91" s="1582" t="s">
        <v>6959</v>
      </c>
      <c r="H91" s="2" t="s">
        <v>4474</v>
      </c>
      <c r="I91" s="4"/>
      <c r="J91" s="4"/>
      <c r="K91" s="4"/>
      <c r="S91" s="8"/>
    </row>
    <row r="92" spans="1:19" x14ac:dyDescent="0.2">
      <c r="A92" s="2">
        <v>87</v>
      </c>
      <c r="B92" s="8">
        <f>'CashSum 5'!H4</f>
        <v>0</v>
      </c>
      <c r="C92" s="3">
        <f t="shared" si="3"/>
        <v>87</v>
      </c>
      <c r="D92" s="4"/>
      <c r="E92" s="2" t="b">
        <f t="shared" ca="1" si="2"/>
        <v>1</v>
      </c>
      <c r="F92" s="2" cm="1">
        <f t="array" aca="1" ref="F92" ca="1">IF(G92&lt;&gt;"",INDIRECT("'"&amp;G92&amp;"'!"&amp;H92),"")</f>
        <v>0</v>
      </c>
      <c r="G92" s="1582" t="s">
        <v>6959</v>
      </c>
      <c r="H92" s="2" t="s">
        <v>4475</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6959</v>
      </c>
      <c r="H93" s="2" t="s">
        <v>4476</v>
      </c>
      <c r="S93" s="8"/>
    </row>
    <row r="94" spans="1:19" x14ac:dyDescent="0.2">
      <c r="A94">
        <v>89</v>
      </c>
      <c r="B94" s="8">
        <f>'CashSum 5'!H11</f>
        <v>0</v>
      </c>
      <c r="C94" s="3">
        <f t="shared" si="3"/>
        <v>89</v>
      </c>
      <c r="E94" s="2" t="b">
        <f t="shared" ca="1" si="2"/>
        <v>1</v>
      </c>
      <c r="F94" s="2" cm="1">
        <f t="array" aca="1" ref="F94" ca="1">IF(G94&lt;&gt;"",INDIRECT("'"&amp;G94&amp;"'!"&amp;H94),"")</f>
        <v>0</v>
      </c>
      <c r="G94" s="1582" t="s">
        <v>6959</v>
      </c>
      <c r="H94" s="2" t="s">
        <v>4477</v>
      </c>
      <c r="S94" s="8"/>
    </row>
    <row r="95" spans="1:19" x14ac:dyDescent="0.2">
      <c r="A95" s="2">
        <v>90</v>
      </c>
      <c r="B95" s="8">
        <f>'CashSum 5'!H12</f>
        <v>0</v>
      </c>
      <c r="C95" s="3">
        <f t="shared" si="3"/>
        <v>90</v>
      </c>
      <c r="D95" s="4"/>
      <c r="E95" s="2" t="b">
        <f t="shared" ca="1" si="2"/>
        <v>1</v>
      </c>
      <c r="F95" s="2" cm="1">
        <f t="array" aca="1" ref="F95" ca="1">IF(G95&lt;&gt;"",INDIRECT("'"&amp;G95&amp;"'!"&amp;H95),"")</f>
        <v>0</v>
      </c>
      <c r="G95" s="1582" t="s">
        <v>6959</v>
      </c>
      <c r="H95" s="2" t="s">
        <v>4478</v>
      </c>
      <c r="I95" s="4"/>
      <c r="J95" s="4"/>
      <c r="K95" s="4"/>
      <c r="S95" s="8"/>
    </row>
    <row r="96" spans="1:19" x14ac:dyDescent="0.2">
      <c r="A96">
        <v>91</v>
      </c>
      <c r="B96" s="8">
        <f>'CashSum 5'!H13</f>
        <v>0</v>
      </c>
      <c r="C96" s="3">
        <f t="shared" si="3"/>
        <v>91</v>
      </c>
      <c r="E96" s="2" t="b">
        <f t="shared" ca="1" si="2"/>
        <v>1</v>
      </c>
      <c r="F96" s="2" cm="1">
        <f t="array" aca="1" ref="F96" ca="1">IF(G96&lt;&gt;"",INDIRECT("'"&amp;G96&amp;"'!"&amp;H96),"")</f>
        <v>0</v>
      </c>
      <c r="G96" s="1582" t="s">
        <v>6959</v>
      </c>
      <c r="H96" s="2" t="s">
        <v>4408</v>
      </c>
      <c r="S96" s="8"/>
    </row>
    <row r="97" spans="1:19" x14ac:dyDescent="0.2">
      <c r="A97">
        <v>92</v>
      </c>
      <c r="B97" s="8">
        <f>'CashSum 5'!H16</f>
        <v>0</v>
      </c>
      <c r="C97" s="3">
        <f t="shared" si="3"/>
        <v>92</v>
      </c>
      <c r="E97" s="2" t="b">
        <f t="shared" ca="1" si="2"/>
        <v>1</v>
      </c>
      <c r="F97" s="2" cm="1">
        <f t="array" aca="1" ref="F97" ca="1">IF(G97&lt;&gt;"",INDIRECT("'"&amp;G97&amp;"'!"&amp;H97),"")</f>
        <v>0</v>
      </c>
      <c r="G97" s="1582" t="s">
        <v>6959</v>
      </c>
      <c r="H97" s="2" t="s">
        <v>4479</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6959</v>
      </c>
      <c r="H99" s="2" t="s">
        <v>4480</v>
      </c>
      <c r="I99" s="4"/>
      <c r="J99" s="4"/>
      <c r="K99" s="4"/>
      <c r="S99" s="8"/>
    </row>
    <row r="100" spans="1:19" x14ac:dyDescent="0.2">
      <c r="A100">
        <v>95</v>
      </c>
      <c r="B100" s="8">
        <f>'CashSum 5'!H20</f>
        <v>0</v>
      </c>
      <c r="C100" s="3">
        <f t="shared" si="3"/>
        <v>95</v>
      </c>
      <c r="E100" s="2" t="b">
        <f t="shared" ca="1" si="2"/>
        <v>1</v>
      </c>
      <c r="F100" s="2" cm="1">
        <f t="array" aca="1" ref="F100" ca="1">IF(G100&lt;&gt;"",INDIRECT("'"&amp;G100&amp;"'!"&amp;H100),"")</f>
        <v>0</v>
      </c>
      <c r="G100" s="1582" t="s">
        <v>6959</v>
      </c>
      <c r="H100" s="2" t="s">
        <v>4481</v>
      </c>
      <c r="S100" s="8"/>
    </row>
    <row r="101" spans="1:19" x14ac:dyDescent="0.2">
      <c r="A101">
        <v>96</v>
      </c>
      <c r="B101" s="8">
        <f>'CashSum 5'!H21</f>
        <v>0</v>
      </c>
      <c r="C101" s="3">
        <f t="shared" si="3"/>
        <v>96</v>
      </c>
      <c r="E101" s="2" t="b">
        <f t="shared" ca="1" si="2"/>
        <v>1</v>
      </c>
      <c r="F101" s="2" cm="1">
        <f t="array" aca="1" ref="F101" ca="1">IF(G101&lt;&gt;"",INDIRECT("'"&amp;G101&amp;"'!"&amp;H101),"")</f>
        <v>0</v>
      </c>
      <c r="G101" s="1582" t="s">
        <v>6959</v>
      </c>
      <c r="H101" s="2" t="s">
        <v>4482</v>
      </c>
      <c r="S101" s="8"/>
    </row>
    <row r="102" spans="1:19" x14ac:dyDescent="0.2">
      <c r="A102" s="2">
        <v>97</v>
      </c>
      <c r="B102" s="8">
        <f>'CashSum 5'!I4</f>
        <v>41000</v>
      </c>
      <c r="C102" s="3">
        <f t="shared" si="3"/>
        <v>-40903</v>
      </c>
      <c r="D102" s="4"/>
      <c r="E102" s="2" t="b">
        <f t="shared" ca="1" si="2"/>
        <v>1</v>
      </c>
      <c r="F102" s="2" cm="1">
        <f t="array" aca="1" ref="F102" ca="1">IF(G102&lt;&gt;"",INDIRECT("'"&amp;G102&amp;"'!"&amp;H102),"")</f>
        <v>41000</v>
      </c>
      <c r="G102" s="1582" t="s">
        <v>6959</v>
      </c>
      <c r="H102" s="2" t="s">
        <v>4483</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6959</v>
      </c>
      <c r="H103" s="2" t="s">
        <v>4484</v>
      </c>
      <c r="S103" s="8"/>
    </row>
    <row r="104" spans="1:19" x14ac:dyDescent="0.2">
      <c r="A104">
        <v>99</v>
      </c>
      <c r="B104" s="8">
        <f>'CashSum 5'!I10</f>
        <v>0</v>
      </c>
      <c r="C104" s="3">
        <f t="shared" si="3"/>
        <v>99</v>
      </c>
      <c r="E104" s="2" t="b">
        <f t="shared" ca="1" si="2"/>
        <v>1</v>
      </c>
      <c r="F104" s="2" cm="1">
        <f t="array" aca="1" ref="F104" ca="1">IF(G104&lt;&gt;"",INDIRECT("'"&amp;G104&amp;"'!"&amp;H104),"")</f>
        <v>0</v>
      </c>
      <c r="G104" s="1582" t="s">
        <v>6959</v>
      </c>
      <c r="H104" s="2" t="s">
        <v>4485</v>
      </c>
      <c r="S104" s="8"/>
    </row>
    <row r="105" spans="1:19" x14ac:dyDescent="0.2">
      <c r="A105">
        <v>100</v>
      </c>
      <c r="B105" s="8">
        <f>'CashSum 5'!I11</f>
        <v>41000</v>
      </c>
      <c r="C105" s="3">
        <f t="shared" si="3"/>
        <v>-40900</v>
      </c>
      <c r="D105" s="4"/>
      <c r="E105" s="2" t="b">
        <f t="shared" ca="1" si="2"/>
        <v>1</v>
      </c>
      <c r="F105" s="2" cm="1">
        <f t="array" aca="1" ref="F105" ca="1">IF(G105&lt;&gt;"",INDIRECT("'"&amp;G105&amp;"'!"&amp;H105),"")</f>
        <v>41000</v>
      </c>
      <c r="G105" s="1582" t="s">
        <v>6959</v>
      </c>
      <c r="H105" s="2" t="s">
        <v>4486</v>
      </c>
      <c r="I105" s="4"/>
      <c r="J105" s="4"/>
      <c r="K105" s="4"/>
      <c r="S105" s="8"/>
    </row>
    <row r="106" spans="1:19" x14ac:dyDescent="0.2">
      <c r="A106" s="2">
        <v>101</v>
      </c>
      <c r="B106" s="8">
        <f>'CashSum 5'!I12</f>
        <v>497568</v>
      </c>
      <c r="C106" s="3">
        <f t="shared" si="3"/>
        <v>-497467</v>
      </c>
      <c r="E106" s="2" t="b">
        <f t="shared" ca="1" si="2"/>
        <v>1</v>
      </c>
      <c r="F106" s="2" cm="1">
        <f t="array" aca="1" ref="F106" ca="1">IF(G106&lt;&gt;"",INDIRECT("'"&amp;G106&amp;"'!"&amp;H106),"")</f>
        <v>497568</v>
      </c>
      <c r="G106" s="1582" t="s">
        <v>6959</v>
      </c>
      <c r="H106" s="2" t="s">
        <v>4487</v>
      </c>
      <c r="S106" s="8"/>
    </row>
    <row r="107" spans="1:19" x14ac:dyDescent="0.2">
      <c r="A107">
        <v>102</v>
      </c>
      <c r="B107" s="8">
        <f>'CashSum 5'!I13</f>
        <v>0</v>
      </c>
      <c r="C107" s="3">
        <f t="shared" si="3"/>
        <v>102</v>
      </c>
      <c r="E107" s="2" t="b">
        <f t="shared" ca="1" si="2"/>
        <v>1</v>
      </c>
      <c r="F107" s="2" cm="1">
        <f t="array" aca="1" ref="F107" ca="1">IF(G107&lt;&gt;"",INDIRECT("'"&amp;G107&amp;"'!"&amp;H107),"")</f>
        <v>0</v>
      </c>
      <c r="G107" s="1582" t="s">
        <v>6959</v>
      </c>
      <c r="H107" s="2" t="s">
        <v>4488</v>
      </c>
      <c r="S107" s="8"/>
    </row>
    <row r="108" spans="1:19" x14ac:dyDescent="0.2">
      <c r="A108">
        <v>103</v>
      </c>
      <c r="B108" s="8">
        <f>'CashSum 5'!I15</f>
        <v>0</v>
      </c>
      <c r="C108" s="3">
        <f t="shared" si="3"/>
        <v>103</v>
      </c>
      <c r="E108" s="2" t="b">
        <f t="shared" ca="1" si="2"/>
        <v>1</v>
      </c>
      <c r="F108" s="2" cm="1">
        <f t="array" aca="1" ref="F108" ca="1">IF(G108&lt;&gt;"",INDIRECT("'"&amp;G108&amp;"'!"&amp;H108),"")</f>
        <v>0</v>
      </c>
      <c r="G108" s="1582" t="s">
        <v>6959</v>
      </c>
      <c r="H108" s="2" t="s">
        <v>4489</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6959</v>
      </c>
      <c r="H110" s="2" t="s">
        <v>4490</v>
      </c>
      <c r="S110" s="8"/>
    </row>
    <row r="111" spans="1:19" x14ac:dyDescent="0.2">
      <c r="A111">
        <v>106</v>
      </c>
      <c r="B111" s="8">
        <f>'CashSum 5'!I20</f>
        <v>0</v>
      </c>
      <c r="C111" s="3">
        <f t="shared" si="3"/>
        <v>106</v>
      </c>
      <c r="E111" s="2" t="b">
        <f t="shared" ca="1" si="2"/>
        <v>1</v>
      </c>
      <c r="F111" s="2" cm="1">
        <f t="array" aca="1" ref="F111" ca="1">IF(G111&lt;&gt;"",INDIRECT("'"&amp;G111&amp;"'!"&amp;H111),"")</f>
        <v>0</v>
      </c>
      <c r="G111" s="1582" t="s">
        <v>6959</v>
      </c>
      <c r="H111" s="2" t="s">
        <v>4491</v>
      </c>
      <c r="S111" s="8"/>
    </row>
    <row r="112" spans="1:19" x14ac:dyDescent="0.2">
      <c r="A112" s="2">
        <v>107</v>
      </c>
      <c r="B112" s="8">
        <f>'CashSum 5'!I21</f>
        <v>497568</v>
      </c>
      <c r="C112" s="3">
        <f t="shared" si="3"/>
        <v>-497461</v>
      </c>
      <c r="E112" s="2" t="b">
        <f t="shared" ca="1" si="2"/>
        <v>1</v>
      </c>
      <c r="F112" s="2" cm="1">
        <f t="array" aca="1" ref="F112" ca="1">IF(G112&lt;&gt;"",INDIRECT("'"&amp;G112&amp;"'!"&amp;H112),"")</f>
        <v>497568</v>
      </c>
      <c r="G112" s="1582" t="s">
        <v>6959</v>
      </c>
      <c r="H112" s="2" t="s">
        <v>4492</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0</v>
      </c>
      <c r="C125" s="3">
        <f t="shared" si="3"/>
        <v>120</v>
      </c>
      <c r="E125" s="2" t="b">
        <f t="shared" ca="1" si="2"/>
        <v>1</v>
      </c>
      <c r="F125" s="2" cm="1">
        <f t="array" aca="1" ref="F125" ca="1">IF(G125&lt;&gt;"",INDIRECT("'"&amp;G125&amp;"'!"&amp;H125),"")</f>
        <v>0</v>
      </c>
      <c r="G125" s="1582" t="s">
        <v>6959</v>
      </c>
      <c r="H125" s="2" t="s">
        <v>4493</v>
      </c>
      <c r="S125" s="8"/>
    </row>
    <row r="126" spans="1:19" x14ac:dyDescent="0.2">
      <c r="A126">
        <v>121</v>
      </c>
      <c r="B126" s="8">
        <f>'CashSum 5'!K10</f>
        <v>0</v>
      </c>
      <c r="C126" s="3">
        <f t="shared" si="3"/>
        <v>121</v>
      </c>
      <c r="E126" s="2" t="b">
        <f t="shared" ca="1" si="2"/>
        <v>1</v>
      </c>
      <c r="F126" s="2" cm="1">
        <f t="array" aca="1" ref="F126" ca="1">IF(G126&lt;&gt;"",INDIRECT("'"&amp;G126&amp;"'!"&amp;H126),"")</f>
        <v>0</v>
      </c>
      <c r="G126" s="1582" t="s">
        <v>6959</v>
      </c>
      <c r="H126" s="2" t="s">
        <v>4494</v>
      </c>
      <c r="S126" s="8"/>
    </row>
    <row r="127" spans="1:19" x14ac:dyDescent="0.2">
      <c r="A127">
        <v>122</v>
      </c>
      <c r="B127" s="8">
        <f>'CashSum 5'!K11</f>
        <v>0</v>
      </c>
      <c r="C127" s="3">
        <f t="shared" si="3"/>
        <v>122</v>
      </c>
      <c r="E127" s="2" t="b">
        <f t="shared" ca="1" si="2"/>
        <v>1</v>
      </c>
      <c r="F127" s="2" cm="1">
        <f t="array" aca="1" ref="F127" ca="1">IF(G127&lt;&gt;"",INDIRECT("'"&amp;G127&amp;"'!"&amp;H127),"")</f>
        <v>0</v>
      </c>
      <c r="G127" s="1582" t="s">
        <v>6959</v>
      </c>
      <c r="H127" s="2" t="s">
        <v>4495</v>
      </c>
      <c r="S127" s="8"/>
    </row>
    <row r="128" spans="1:19" x14ac:dyDescent="0.2">
      <c r="A128">
        <v>123</v>
      </c>
      <c r="B128" s="8">
        <f>'CashSum 5'!K12</f>
        <v>22687</v>
      </c>
      <c r="C128" s="3">
        <f t="shared" si="3"/>
        <v>-22564</v>
      </c>
      <c r="E128" s="2" t="b">
        <f t="shared" ca="1" si="2"/>
        <v>1</v>
      </c>
      <c r="F128" s="2" cm="1">
        <f t="array" aca="1" ref="F128" ca="1">IF(G128&lt;&gt;"",INDIRECT("'"&amp;G128&amp;"'!"&amp;H128),"")</f>
        <v>22687</v>
      </c>
      <c r="G128" s="1582" t="s">
        <v>6959</v>
      </c>
      <c r="H128" s="2" t="s">
        <v>4496</v>
      </c>
      <c r="S128" s="8"/>
    </row>
    <row r="129" spans="1:19" x14ac:dyDescent="0.2">
      <c r="A129">
        <v>124</v>
      </c>
      <c r="B129" s="8">
        <f>'CashSum 5'!K13</f>
        <v>0</v>
      </c>
      <c r="C129" s="3">
        <f t="shared" si="3"/>
        <v>124</v>
      </c>
      <c r="E129" s="2" t="b">
        <f t="shared" ca="1" si="2"/>
        <v>1</v>
      </c>
      <c r="F129" s="2" cm="1">
        <f t="array" aca="1" ref="F129" ca="1">IF(G129&lt;&gt;"",INDIRECT("'"&amp;G129&amp;"'!"&amp;H129),"")</f>
        <v>0</v>
      </c>
      <c r="G129" s="1582" t="s">
        <v>6959</v>
      </c>
      <c r="H129" s="2" t="s">
        <v>4497</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6959</v>
      </c>
      <c r="H130" s="2" t="s">
        <v>4498</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6959</v>
      </c>
      <c r="H132" s="2" t="s">
        <v>4499</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6959</v>
      </c>
      <c r="H135" s="2" t="s">
        <v>4500</v>
      </c>
      <c r="I135" s="4"/>
      <c r="J135" s="4"/>
      <c r="K135" s="4"/>
      <c r="S135" s="8"/>
    </row>
    <row r="136" spans="1:19" x14ac:dyDescent="0.2">
      <c r="A136" s="2">
        <v>131</v>
      </c>
      <c r="B136" s="8">
        <f>'CashSum 5'!K20</f>
        <v>0</v>
      </c>
      <c r="C136" s="3">
        <f t="shared" si="5"/>
        <v>131</v>
      </c>
      <c r="D136" s="4"/>
      <c r="E136" s="2" t="b">
        <f t="shared" ca="1" si="4"/>
        <v>1</v>
      </c>
      <c r="F136" s="2" cm="1">
        <f t="array" aca="1" ref="F136" ca="1">IF(G136&lt;&gt;"",INDIRECT("'"&amp;G136&amp;"'!"&amp;H136),"")</f>
        <v>0</v>
      </c>
      <c r="G136" s="1582" t="s">
        <v>6959</v>
      </c>
      <c r="H136" s="2" t="s">
        <v>4501</v>
      </c>
      <c r="I136" s="4"/>
      <c r="J136" s="4"/>
      <c r="K136" s="4"/>
      <c r="S136" s="8"/>
    </row>
    <row r="137" spans="1:19" x14ac:dyDescent="0.2">
      <c r="A137" s="2">
        <v>132</v>
      </c>
      <c r="B137" s="8">
        <f>'CashSum 5'!K21</f>
        <v>22687</v>
      </c>
      <c r="C137" s="3">
        <f t="shared" si="5"/>
        <v>-22555</v>
      </c>
      <c r="D137" s="4"/>
      <c r="E137" s="2" t="b">
        <f t="shared" ca="1" si="4"/>
        <v>1</v>
      </c>
      <c r="F137" s="2" cm="1">
        <f t="array" aca="1" ref="F137" ca="1">IF(G137&lt;&gt;"",INDIRECT("'"&amp;G137&amp;"'!"&amp;H137),"")</f>
        <v>22687</v>
      </c>
      <c r="G137" s="1582" t="s">
        <v>6959</v>
      </c>
      <c r="H137" s="2" t="s">
        <v>4502</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6960</v>
      </c>
      <c r="H143" s="2" t="s">
        <v>4503</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6960</v>
      </c>
      <c r="H146" s="2" t="s">
        <v>4504</v>
      </c>
    </row>
    <row r="147" spans="1:19" x14ac:dyDescent="0.2">
      <c r="A147">
        <v>142</v>
      </c>
      <c r="B147" s="7">
        <f>'EstExp 12-20'!H154</f>
        <v>0</v>
      </c>
      <c r="C147" s="3">
        <f t="shared" si="5"/>
        <v>142</v>
      </c>
      <c r="E147" s="2" t="b">
        <f t="shared" ca="1" si="4"/>
        <v>1</v>
      </c>
      <c r="F147" s="2" cm="1">
        <f t="array" aca="1" ref="F147" ca="1">IF(G147&lt;&gt;"",INDIRECT("'"&amp;G147&amp;"'!"&amp;H147),"")</f>
        <v>0</v>
      </c>
      <c r="G147" s="1582" t="s">
        <v>6960</v>
      </c>
      <c r="H147" s="2" t="s">
        <v>4505</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6960</v>
      </c>
      <c r="H148" s="2" t="s">
        <v>4506</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6960</v>
      </c>
      <c r="H149" s="2" t="s">
        <v>4507</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6960</v>
      </c>
      <c r="H150" s="2" t="s">
        <v>4508</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6960</v>
      </c>
      <c r="H151" s="2" t="s">
        <v>4509</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6960</v>
      </c>
      <c r="H152" s="2" t="s">
        <v>4510</v>
      </c>
    </row>
    <row r="153" spans="1:19" x14ac:dyDescent="0.2">
      <c r="A153">
        <v>148</v>
      </c>
      <c r="B153" s="7">
        <f>'EstExp 12-20'!H291</f>
        <v>0</v>
      </c>
      <c r="C153" s="3">
        <f t="shared" si="5"/>
        <v>148</v>
      </c>
      <c r="E153" s="2" t="b">
        <f t="shared" ca="1" si="4"/>
        <v>1</v>
      </c>
      <c r="F153" s="2" cm="1">
        <f t="array" aca="1" ref="F153" ca="1">IF(G153&lt;&gt;"",INDIRECT("'"&amp;G153&amp;"'!"&amp;H153),"")</f>
        <v>0</v>
      </c>
      <c r="G153" s="1582" t="s">
        <v>6960</v>
      </c>
      <c r="H153" s="2" t="s">
        <v>4511</v>
      </c>
    </row>
    <row r="154" spans="1:19" x14ac:dyDescent="0.2">
      <c r="A154" s="2">
        <v>149</v>
      </c>
      <c r="B154" s="7">
        <f>'EstExp 12-20'!K291</f>
        <v>0</v>
      </c>
      <c r="C154" s="3">
        <f t="shared" si="5"/>
        <v>149</v>
      </c>
      <c r="E154" s="2" t="b">
        <f t="shared" ca="1" si="4"/>
        <v>1</v>
      </c>
      <c r="F154" s="2" cm="1">
        <f t="array" aca="1" ref="F154" ca="1">IF(G154&lt;&gt;"",INDIRECT("'"&amp;G154&amp;"'!"&amp;H154),"")</f>
        <v>0</v>
      </c>
      <c r="G154" s="1582" t="s">
        <v>6960</v>
      </c>
      <c r="H154" s="2" t="s">
        <v>4512</v>
      </c>
    </row>
    <row r="155" spans="1:19" x14ac:dyDescent="0.2">
      <c r="A155" s="2">
        <v>150</v>
      </c>
      <c r="B155" s="7">
        <f>'EstExp 12-20'!H308</f>
        <v>0</v>
      </c>
      <c r="C155" s="3">
        <f t="shared" si="5"/>
        <v>150</v>
      </c>
      <c r="E155" s="2" t="b">
        <f t="shared" ca="1" si="4"/>
        <v>1</v>
      </c>
      <c r="F155" s="2" cm="1">
        <f t="array" aca="1" ref="F155" ca="1">IF(G155&lt;&gt;"",INDIRECT("'"&amp;G155&amp;"'!"&amp;H155),"")</f>
        <v>0</v>
      </c>
      <c r="G155" s="1582" t="s">
        <v>6960</v>
      </c>
      <c r="H155" s="2" t="s">
        <v>4513</v>
      </c>
    </row>
    <row r="156" spans="1:19" x14ac:dyDescent="0.2">
      <c r="A156">
        <v>151</v>
      </c>
      <c r="B156" s="7">
        <f>'EstExp 12-20'!K308</f>
        <v>0</v>
      </c>
      <c r="C156" s="3">
        <f t="shared" si="5"/>
        <v>151</v>
      </c>
      <c r="E156" s="2" t="b">
        <f t="shared" ca="1" si="4"/>
        <v>1</v>
      </c>
      <c r="F156" s="2" cm="1">
        <f t="array" aca="1" ref="F156" ca="1">IF(G156&lt;&gt;"",INDIRECT("'"&amp;G156&amp;"'!"&amp;H156),"")</f>
        <v>0</v>
      </c>
      <c r="G156" s="1582" t="s">
        <v>6960</v>
      </c>
      <c r="H156" s="2" t="s">
        <v>4514</v>
      </c>
    </row>
    <row r="157" spans="1:19" x14ac:dyDescent="0.2">
      <c r="A157">
        <v>152</v>
      </c>
      <c r="B157" s="7">
        <f>'EstExp 12-20'!H452</f>
        <v>0</v>
      </c>
      <c r="C157" s="3">
        <f t="shared" si="5"/>
        <v>152</v>
      </c>
      <c r="E157" s="2" t="b">
        <f t="shared" ca="1" si="4"/>
        <v>1</v>
      </c>
      <c r="F157" s="2" cm="1">
        <f t="array" aca="1" ref="F157" ca="1">IF(G157&lt;&gt;"",INDIRECT("'"&amp;G157&amp;"'!"&amp;H157),"")</f>
        <v>0</v>
      </c>
      <c r="G157" s="1582" t="s">
        <v>6960</v>
      </c>
      <c r="H157" s="2" t="s">
        <v>4515</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6960</v>
      </c>
      <c r="H158" s="2" t="s">
        <v>4516</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6960</v>
      </c>
      <c r="H159" s="2" t="s">
        <v>4517</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6958</v>
      </c>
      <c r="H264" s="2" t="s">
        <v>4518</v>
      </c>
    </row>
    <row r="265" spans="1:11" x14ac:dyDescent="0.2">
      <c r="A265">
        <v>260</v>
      </c>
      <c r="B265" s="7">
        <f>'BudgetSum 2-4'!C28</f>
        <v>0</v>
      </c>
      <c r="C265" s="3">
        <f t="shared" si="8"/>
        <v>260</v>
      </c>
      <c r="E265" s="2" t="b">
        <f t="shared" ca="1" si="7"/>
        <v>1</v>
      </c>
      <c r="F265" s="2" cm="1">
        <f t="array" aca="1" ref="F265" ca="1">IF(G265&lt;&gt;"",INDIRECT("'"&amp;G265&amp;"'!"&amp;H265),"")</f>
        <v>0</v>
      </c>
      <c r="G265" s="1582" t="s">
        <v>6958</v>
      </c>
      <c r="H265" s="2" t="s">
        <v>4519</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6958</v>
      </c>
      <c r="H267" s="2" t="s">
        <v>4520</v>
      </c>
    </row>
    <row r="268" spans="1:11" x14ac:dyDescent="0.2">
      <c r="A268">
        <v>263</v>
      </c>
      <c r="B268" s="7">
        <f>'BudgetSum 2-4'!C36</f>
        <v>0</v>
      </c>
      <c r="C268" s="3">
        <f t="shared" si="8"/>
        <v>263</v>
      </c>
      <c r="E268" s="2" t="b">
        <f t="shared" ca="1" si="7"/>
        <v>1</v>
      </c>
      <c r="F268" s="2" cm="1">
        <f t="array" aca="1" ref="F268" ca="1">IF(G268&lt;&gt;"",INDIRECT("'"&amp;G268&amp;"'!"&amp;H268),"")</f>
        <v>0</v>
      </c>
      <c r="G268" s="1582" t="s">
        <v>6958</v>
      </c>
      <c r="H268" s="2" t="s">
        <v>4521</v>
      </c>
    </row>
    <row r="269" spans="1:11" x14ac:dyDescent="0.2">
      <c r="A269">
        <v>264</v>
      </c>
      <c r="B269" s="7">
        <f>'BudgetSum 2-4'!C37</f>
        <v>0</v>
      </c>
      <c r="C269" s="3">
        <f t="shared" si="8"/>
        <v>264</v>
      </c>
      <c r="E269" s="2" t="b">
        <f t="shared" ca="1" si="7"/>
        <v>1</v>
      </c>
      <c r="F269" s="2" cm="1">
        <f t="array" aca="1" ref="F269" ca="1">IF(G269&lt;&gt;"",INDIRECT("'"&amp;G269&amp;"'!"&amp;H269),"")</f>
        <v>0</v>
      </c>
      <c r="G269" s="1582" t="s">
        <v>6958</v>
      </c>
      <c r="H269" s="2" t="s">
        <v>4522</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6958</v>
      </c>
      <c r="H376" s="2" t="s">
        <v>4523</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6958</v>
      </c>
      <c r="H444" s="2" t="s">
        <v>4524</v>
      </c>
    </row>
    <row r="445" spans="1:11" x14ac:dyDescent="0.2">
      <c r="A445">
        <v>440</v>
      </c>
      <c r="B445" s="7">
        <f>'BudgetSum 2-4'!E37</f>
        <v>0</v>
      </c>
      <c r="C445" s="3">
        <f t="shared" si="12"/>
        <v>440</v>
      </c>
      <c r="E445" s="2" t="b">
        <f t="shared" ca="1" si="11"/>
        <v>1</v>
      </c>
      <c r="F445" s="2" cm="1">
        <f t="array" aca="1" ref="F445" ca="1">IF(G445&lt;&gt;"",INDIRECT("'"&amp;G445&amp;"'!"&amp;H445),"")</f>
        <v>0</v>
      </c>
      <c r="G445" s="1582" t="s">
        <v>6958</v>
      </c>
      <c r="H445" s="2" t="s">
        <v>4525</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6958</v>
      </c>
      <c r="H562" s="2" t="s">
        <v>4526</v>
      </c>
    </row>
    <row r="563" spans="1:11" x14ac:dyDescent="0.2">
      <c r="A563">
        <v>558</v>
      </c>
      <c r="B563" s="7">
        <f>'BudgetSum 2-4'!H36</f>
        <v>0</v>
      </c>
      <c r="C563" s="3">
        <f t="shared" si="15"/>
        <v>558</v>
      </c>
      <c r="E563" s="2" t="b">
        <f t="shared" ca="1" si="14"/>
        <v>1</v>
      </c>
      <c r="F563" s="2" cm="1">
        <f t="array" aca="1" ref="F563" ca="1">IF(G563&lt;&gt;"",INDIRECT("'"&amp;G563&amp;"'!"&amp;H563),"")</f>
        <v>0</v>
      </c>
      <c r="G563" s="1582" t="s">
        <v>6958</v>
      </c>
      <c r="H563" s="2" t="s">
        <v>4527</v>
      </c>
    </row>
    <row r="564" spans="1:11" x14ac:dyDescent="0.2">
      <c r="A564">
        <v>559</v>
      </c>
      <c r="B564" s="7">
        <f>'BudgetSum 2-4'!H37</f>
        <v>0</v>
      </c>
      <c r="C564" s="3">
        <f t="shared" si="15"/>
        <v>559</v>
      </c>
      <c r="E564" s="2" t="b">
        <f t="shared" ca="1" si="14"/>
        <v>1</v>
      </c>
      <c r="F564" s="2" cm="1">
        <f t="array" aca="1" ref="F564" ca="1">IF(G564&lt;&gt;"",INDIRECT("'"&amp;G564&amp;"'!"&amp;H564),"")</f>
        <v>0</v>
      </c>
      <c r="G564" s="1582" t="s">
        <v>6958</v>
      </c>
      <c r="H564" s="2" t="s">
        <v>4528</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6958</v>
      </c>
      <c r="H595" s="2" t="s">
        <v>4529</v>
      </c>
    </row>
    <row r="596" spans="1:11" x14ac:dyDescent="0.2">
      <c r="A596">
        <v>591</v>
      </c>
      <c r="B596" s="7">
        <f>'BudgetSum 2-4'!I36</f>
        <v>0</v>
      </c>
      <c r="C596" s="3">
        <f t="shared" si="17"/>
        <v>591</v>
      </c>
      <c r="E596" s="2" t="b">
        <f t="shared" ca="1" si="16"/>
        <v>1</v>
      </c>
      <c r="F596" s="2" cm="1">
        <f t="array" aca="1" ref="F596" ca="1">IF(G596&lt;&gt;"",INDIRECT("'"&amp;G596&amp;"'!"&amp;H596),"")</f>
        <v>0</v>
      </c>
      <c r="G596" s="1582" t="s">
        <v>6958</v>
      </c>
      <c r="H596" s="2" t="s">
        <v>4530</v>
      </c>
    </row>
    <row r="597" spans="1:11" x14ac:dyDescent="0.2">
      <c r="A597">
        <v>592</v>
      </c>
      <c r="B597" s="7">
        <f>'BudgetSum 2-4'!I37</f>
        <v>0</v>
      </c>
      <c r="C597" s="3">
        <f t="shared" si="17"/>
        <v>592</v>
      </c>
      <c r="E597" s="2" t="b">
        <f t="shared" ca="1" si="16"/>
        <v>1</v>
      </c>
      <c r="F597" s="2" cm="1">
        <f t="array" aca="1" ref="F597" ca="1">IF(G597&lt;&gt;"",INDIRECT("'"&amp;G597&amp;"'!"&amp;H597),"")</f>
        <v>0</v>
      </c>
      <c r="G597" s="1582" t="s">
        <v>6958</v>
      </c>
      <c r="H597" s="2" t="s">
        <v>4531</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1600400</v>
      </c>
      <c r="C649" s="3">
        <f t="shared" ref="C649:C708" si="19">A649-B649</f>
        <v>-1599756</v>
      </c>
      <c r="E649" s="2" t="b">
        <f t="shared" ca="1" si="18"/>
        <v>1</v>
      </c>
      <c r="F649" s="2" cm="1">
        <f t="array" aca="1" ref="F649" ca="1">IF(G649&lt;&gt;"",INDIRECT("'"&amp;G649&amp;"'!"&amp;H649),"")</f>
        <v>1600400</v>
      </c>
      <c r="G649" s="1582" t="s">
        <v>6960</v>
      </c>
      <c r="H649" s="2" t="s">
        <v>4532</v>
      </c>
    </row>
    <row r="650" spans="1:11" x14ac:dyDescent="0.2">
      <c r="A650">
        <v>645</v>
      </c>
      <c r="B650" s="7">
        <f>'EstExp 12-20'!C16</f>
        <v>0</v>
      </c>
      <c r="C650" s="3">
        <f t="shared" si="19"/>
        <v>645</v>
      </c>
      <c r="E650" s="2" t="b">
        <f t="shared" ca="1" si="18"/>
        <v>1</v>
      </c>
      <c r="F650" s="2" cm="1">
        <f t="array" aca="1" ref="F650" ca="1">IF(G650&lt;&gt;"",INDIRECT("'"&amp;G650&amp;"'!"&amp;H650),"")</f>
        <v>0</v>
      </c>
      <c r="G650" s="1582" t="s">
        <v>6960</v>
      </c>
      <c r="H650" s="2" t="s">
        <v>4425</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6960</v>
      </c>
      <c r="H656" s="2" t="s">
        <v>4411</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6960</v>
      </c>
      <c r="H660" s="2" t="s">
        <v>4422</v>
      </c>
    </row>
    <row r="661" spans="1:11" x14ac:dyDescent="0.2">
      <c r="A661">
        <v>656</v>
      </c>
      <c r="B661" s="7">
        <f>'EstExp 12-20'!C13</f>
        <v>0</v>
      </c>
      <c r="C661" s="3">
        <f t="shared" si="19"/>
        <v>656</v>
      </c>
      <c r="E661" s="2" t="b">
        <f t="shared" ca="1" si="18"/>
        <v>1</v>
      </c>
      <c r="F661" s="2" cm="1">
        <f t="array" aca="1" ref="F661" ca="1">IF(G661&lt;&gt;"",INDIRECT("'"&amp;G661&amp;"'!"&amp;H661),"")</f>
        <v>0</v>
      </c>
      <c r="G661" s="1582" t="s">
        <v>6960</v>
      </c>
      <c r="H661" s="2" t="s">
        <v>4423</v>
      </c>
    </row>
    <row r="662" spans="1:11" x14ac:dyDescent="0.2">
      <c r="A662">
        <v>657</v>
      </c>
      <c r="B662" s="7">
        <f>'EstExp 12-20'!C14</f>
        <v>273100</v>
      </c>
      <c r="C662" s="3">
        <f t="shared" si="19"/>
        <v>-272443</v>
      </c>
      <c r="E662" s="2" t="b">
        <f t="shared" ca="1" si="18"/>
        <v>1</v>
      </c>
      <c r="F662" s="2" cm="1">
        <f t="array" aca="1" ref="F662" ca="1">IF(G662&lt;&gt;"",INDIRECT("'"&amp;G662&amp;"'!"&amp;H662),"")</f>
        <v>273100</v>
      </c>
      <c r="G662" s="1582" t="s">
        <v>6960</v>
      </c>
      <c r="H662" s="2" t="s">
        <v>4533</v>
      </c>
    </row>
    <row r="663" spans="1:11" x14ac:dyDescent="0.2">
      <c r="A663">
        <v>658</v>
      </c>
      <c r="B663" s="7">
        <f>'EstExp 12-20'!C15</f>
        <v>0</v>
      </c>
      <c r="C663" s="3">
        <f t="shared" si="19"/>
        <v>658</v>
      </c>
      <c r="E663" s="2" t="b">
        <f t="shared" ca="1" si="18"/>
        <v>1</v>
      </c>
      <c r="F663" s="2" cm="1">
        <f t="array" aca="1" ref="F663" ca="1">IF(G663&lt;&gt;"",INDIRECT("'"&amp;G663&amp;"'!"&amp;H663),"")</f>
        <v>0</v>
      </c>
      <c r="G663" s="1582" t="s">
        <v>6960</v>
      </c>
      <c r="H663" s="2" t="s">
        <v>4424</v>
      </c>
    </row>
    <row r="664" spans="1:11" x14ac:dyDescent="0.2">
      <c r="A664">
        <v>659</v>
      </c>
      <c r="B664" s="7">
        <f>'EstExp 12-20'!C34</f>
        <v>2305300</v>
      </c>
      <c r="C664" s="3">
        <f t="shared" si="19"/>
        <v>-2304641</v>
      </c>
      <c r="E664" s="2" t="b">
        <f t="shared" ca="1" si="18"/>
        <v>1</v>
      </c>
      <c r="F664" s="2" cm="1">
        <f t="array" aca="1" ref="F664" ca="1">IF(G664&lt;&gt;"",INDIRECT("'"&amp;G664&amp;"'!"&amp;H664),"")</f>
        <v>2305300</v>
      </c>
      <c r="G664" s="1582" t="s">
        <v>6960</v>
      </c>
      <c r="H664" s="2" t="s">
        <v>4534</v>
      </c>
    </row>
    <row r="665" spans="1:11" x14ac:dyDescent="0.2">
      <c r="A665">
        <v>660</v>
      </c>
      <c r="B665" s="7">
        <f>'EstExp 12-20'!C38</f>
        <v>61500</v>
      </c>
      <c r="C665" s="3">
        <f t="shared" si="19"/>
        <v>-60840</v>
      </c>
      <c r="E665" s="2" t="b">
        <f t="shared" ca="1" si="18"/>
        <v>1</v>
      </c>
      <c r="F665" s="2" cm="1">
        <f t="array" aca="1" ref="F665" ca="1">IF(G665&lt;&gt;"",INDIRECT("'"&amp;G665&amp;"'!"&amp;H665),"")</f>
        <v>61500</v>
      </c>
      <c r="G665" s="1582" t="s">
        <v>6960</v>
      </c>
      <c r="H665" s="2" t="s">
        <v>4535</v>
      </c>
    </row>
    <row r="666" spans="1:11" x14ac:dyDescent="0.2">
      <c r="A666">
        <v>661</v>
      </c>
      <c r="B666" s="7">
        <f>'EstExp 12-20'!C39</f>
        <v>55500</v>
      </c>
      <c r="C666" s="3">
        <f t="shared" si="19"/>
        <v>-54839</v>
      </c>
      <c r="E666" s="2" t="b">
        <f t="shared" ca="1" si="18"/>
        <v>1</v>
      </c>
      <c r="F666" s="2" cm="1">
        <f t="array" aca="1" ref="F666" ca="1">IF(G666&lt;&gt;"",INDIRECT("'"&amp;G666&amp;"'!"&amp;H666),"")</f>
        <v>55500</v>
      </c>
      <c r="G666" s="1582" t="s">
        <v>6960</v>
      </c>
      <c r="H666" s="2" t="s">
        <v>4536</v>
      </c>
    </row>
    <row r="667" spans="1:11" x14ac:dyDescent="0.2">
      <c r="A667">
        <v>662</v>
      </c>
      <c r="B667" s="7">
        <f>'EstExp 12-20'!C40</f>
        <v>0</v>
      </c>
      <c r="C667" s="3">
        <f t="shared" si="19"/>
        <v>662</v>
      </c>
      <c r="E667" s="2" t="b">
        <f t="shared" ca="1" si="18"/>
        <v>1</v>
      </c>
      <c r="F667" s="2" cm="1">
        <f t="array" aca="1" ref="F667" ca="1">IF(G667&lt;&gt;"",INDIRECT("'"&amp;G667&amp;"'!"&amp;H667),"")</f>
        <v>0</v>
      </c>
      <c r="G667" s="1582" t="s">
        <v>6960</v>
      </c>
      <c r="H667" s="2" t="s">
        <v>4537</v>
      </c>
    </row>
    <row r="668" spans="1:11" x14ac:dyDescent="0.2">
      <c r="A668">
        <v>663</v>
      </c>
      <c r="B668" s="7">
        <f>'EstExp 12-20'!C41</f>
        <v>0</v>
      </c>
      <c r="C668" s="3">
        <f t="shared" si="19"/>
        <v>663</v>
      </c>
      <c r="E668" s="2" t="b">
        <f t="shared" ca="1" si="18"/>
        <v>1</v>
      </c>
      <c r="F668" s="2" cm="1">
        <f t="array" aca="1" ref="F668" ca="1">IF(G668&lt;&gt;"",INDIRECT("'"&amp;G668&amp;"'!"&amp;H668),"")</f>
        <v>0</v>
      </c>
      <c r="G668" s="1582" t="s">
        <v>6960</v>
      </c>
      <c r="H668" s="2" t="s">
        <v>4538</v>
      </c>
    </row>
    <row r="669" spans="1:11" x14ac:dyDescent="0.2">
      <c r="A669">
        <v>664</v>
      </c>
      <c r="B669" s="7">
        <f>'EstExp 12-20'!C42</f>
        <v>0</v>
      </c>
      <c r="C669" s="3">
        <f t="shared" si="19"/>
        <v>664</v>
      </c>
      <c r="E669" s="2" t="b">
        <f t="shared" ca="1" si="18"/>
        <v>1</v>
      </c>
      <c r="F669" s="2" cm="1">
        <f t="array" aca="1" ref="F669" ca="1">IF(G669&lt;&gt;"",INDIRECT("'"&amp;G669&amp;"'!"&amp;H669),"")</f>
        <v>0</v>
      </c>
      <c r="G669" s="1582" t="s">
        <v>6960</v>
      </c>
      <c r="H669" s="2" t="s">
        <v>4539</v>
      </c>
    </row>
    <row r="670" spans="1:11" x14ac:dyDescent="0.2">
      <c r="A670">
        <v>665</v>
      </c>
      <c r="B670" s="7">
        <f>'EstExp 12-20'!C43</f>
        <v>0</v>
      </c>
      <c r="C670" s="3">
        <f t="shared" si="19"/>
        <v>665</v>
      </c>
      <c r="E670" s="2" t="b">
        <f t="shared" ca="1" si="18"/>
        <v>1</v>
      </c>
      <c r="F670" s="2" cm="1">
        <f t="array" aca="1" ref="F670" ca="1">IF(G670&lt;&gt;"",INDIRECT("'"&amp;G670&amp;"'!"&amp;H670),"")</f>
        <v>0</v>
      </c>
      <c r="G670" s="1582" t="s">
        <v>6960</v>
      </c>
      <c r="H670" s="2" t="s">
        <v>4540</v>
      </c>
    </row>
    <row r="671" spans="1:11" x14ac:dyDescent="0.2">
      <c r="A671">
        <v>666</v>
      </c>
      <c r="B671" s="7">
        <f>'EstExp 12-20'!C44</f>
        <v>117000</v>
      </c>
      <c r="C671" s="3">
        <f t="shared" si="19"/>
        <v>-116334</v>
      </c>
      <c r="E671" s="2" t="b">
        <f t="shared" ca="1" si="18"/>
        <v>1</v>
      </c>
      <c r="F671" s="2" cm="1">
        <f t="array" aca="1" ref="F671" ca="1">IF(G671&lt;&gt;"",INDIRECT("'"&amp;G671&amp;"'!"&amp;H671),"")</f>
        <v>117000</v>
      </c>
      <c r="G671" s="1582" t="s">
        <v>6960</v>
      </c>
      <c r="H671" s="2" t="s">
        <v>4541</v>
      </c>
    </row>
    <row r="672" spans="1:11" x14ac:dyDescent="0.2">
      <c r="A672">
        <v>667</v>
      </c>
      <c r="B672" s="7">
        <f>'EstExp 12-20'!C46</f>
        <v>20000</v>
      </c>
      <c r="C672" s="3">
        <f t="shared" si="19"/>
        <v>-19333</v>
      </c>
      <c r="E672" s="2" t="b">
        <f t="shared" ca="1" si="18"/>
        <v>1</v>
      </c>
      <c r="F672" s="2" cm="1">
        <f t="array" aca="1" ref="F672" ca="1">IF(G672&lt;&gt;"",INDIRECT("'"&amp;G672&amp;"'!"&amp;H672),"")</f>
        <v>20000</v>
      </c>
      <c r="G672" s="1582" t="s">
        <v>6960</v>
      </c>
      <c r="H672" s="2" t="s">
        <v>4542</v>
      </c>
    </row>
    <row r="673" spans="1:11" x14ac:dyDescent="0.2">
      <c r="A673">
        <v>668</v>
      </c>
      <c r="B673" s="7">
        <f>'EstExp 12-20'!C47</f>
        <v>88300</v>
      </c>
      <c r="C673" s="3">
        <f t="shared" si="19"/>
        <v>-87632</v>
      </c>
      <c r="E673" s="2" t="b">
        <f t="shared" ca="1" si="18"/>
        <v>1</v>
      </c>
      <c r="F673" s="2" cm="1">
        <f t="array" aca="1" ref="F673" ca="1">IF(G673&lt;&gt;"",INDIRECT("'"&amp;G673&amp;"'!"&amp;H673),"")</f>
        <v>88300</v>
      </c>
      <c r="G673" s="1582" t="s">
        <v>6960</v>
      </c>
      <c r="H673" s="2" t="s">
        <v>4543</v>
      </c>
    </row>
    <row r="674" spans="1:11" x14ac:dyDescent="0.2">
      <c r="A674">
        <v>669</v>
      </c>
      <c r="B674" s="7">
        <f>'EstExp 12-20'!C48</f>
        <v>0</v>
      </c>
      <c r="C674" s="3">
        <f t="shared" si="19"/>
        <v>669</v>
      </c>
      <c r="E674" s="2" t="b">
        <f t="shared" ca="1" si="18"/>
        <v>1</v>
      </c>
      <c r="F674" s="2" cm="1">
        <f t="array" aca="1" ref="F674" ca="1">IF(G674&lt;&gt;"",INDIRECT("'"&amp;G674&amp;"'!"&amp;H674),"")</f>
        <v>0</v>
      </c>
      <c r="G674" s="1582" t="s">
        <v>6960</v>
      </c>
      <c r="H674" s="2" t="s">
        <v>4544</v>
      </c>
    </row>
    <row r="675" spans="1:11" x14ac:dyDescent="0.2">
      <c r="A675">
        <v>670</v>
      </c>
      <c r="B675" s="7">
        <f>'EstExp 12-20'!C49</f>
        <v>108300</v>
      </c>
      <c r="C675" s="3">
        <f t="shared" si="19"/>
        <v>-107630</v>
      </c>
      <c r="E675" s="2" t="b">
        <f t="shared" ca="1" si="18"/>
        <v>1</v>
      </c>
      <c r="F675" s="2" cm="1">
        <f t="array" aca="1" ref="F675" ca="1">IF(G675&lt;&gt;"",INDIRECT("'"&amp;G675&amp;"'!"&amp;H675),"")</f>
        <v>108300</v>
      </c>
      <c r="G675" s="1582" t="s">
        <v>6960</v>
      </c>
      <c r="H675" s="2" t="s">
        <v>4545</v>
      </c>
    </row>
    <row r="676" spans="1:11" x14ac:dyDescent="0.2">
      <c r="A676">
        <v>671</v>
      </c>
      <c r="B676" s="7">
        <f>'EstExp 12-20'!C51</f>
        <v>1850</v>
      </c>
      <c r="C676" s="3">
        <f t="shared" si="19"/>
        <v>-1179</v>
      </c>
      <c r="E676" s="2" t="b">
        <f t="shared" ca="1" si="18"/>
        <v>1</v>
      </c>
      <c r="F676" s="2" cm="1">
        <f t="array" aca="1" ref="F676" ca="1">IF(G676&lt;&gt;"",INDIRECT("'"&amp;G676&amp;"'!"&amp;H676),"")</f>
        <v>1850</v>
      </c>
      <c r="G676" s="1582" t="s">
        <v>6960</v>
      </c>
      <c r="H676" s="2" t="s">
        <v>4546</v>
      </c>
    </row>
    <row r="677" spans="1:11" x14ac:dyDescent="0.2">
      <c r="A677">
        <v>672</v>
      </c>
      <c r="B677" s="7">
        <f>'EstExp 12-20'!C52</f>
        <v>233800</v>
      </c>
      <c r="C677" s="3">
        <f t="shared" si="19"/>
        <v>-233128</v>
      </c>
      <c r="E677" s="2" t="b">
        <f t="shared" ca="1" si="18"/>
        <v>1</v>
      </c>
      <c r="F677" s="2" cm="1">
        <f t="array" aca="1" ref="F677" ca="1">IF(G677&lt;&gt;"",INDIRECT("'"&amp;G677&amp;"'!"&amp;H677),"")</f>
        <v>233800</v>
      </c>
      <c r="G677" s="1582" t="s">
        <v>6960</v>
      </c>
      <c r="H677" s="2" t="s">
        <v>4547</v>
      </c>
    </row>
    <row r="678" spans="1:11" x14ac:dyDescent="0.2">
      <c r="A678">
        <v>673</v>
      </c>
      <c r="B678" s="7">
        <f>'EstExp 12-20'!C55</f>
        <v>235650</v>
      </c>
      <c r="C678" s="3">
        <f t="shared" si="19"/>
        <v>-234977</v>
      </c>
      <c r="E678" s="2" t="b">
        <f t="shared" ca="1" si="18"/>
        <v>1</v>
      </c>
      <c r="F678" s="2" cm="1">
        <f t="array" aca="1" ref="F678" ca="1">IF(G678&lt;&gt;"",INDIRECT("'"&amp;G678&amp;"'!"&amp;H678),"")</f>
        <v>235650</v>
      </c>
      <c r="G678" s="1582" t="s">
        <v>6960</v>
      </c>
      <c r="H678" s="2" t="s">
        <v>4548</v>
      </c>
    </row>
    <row r="679" spans="1:11" x14ac:dyDescent="0.2">
      <c r="A679">
        <v>674</v>
      </c>
      <c r="B679" s="7">
        <f>'EstExp 12-20'!C57</f>
        <v>432000</v>
      </c>
      <c r="C679" s="3">
        <f t="shared" si="19"/>
        <v>-431326</v>
      </c>
      <c r="E679" s="2" t="b">
        <f t="shared" ca="1" si="18"/>
        <v>1</v>
      </c>
      <c r="F679" s="2" cm="1">
        <f t="array" aca="1" ref="F679" ca="1">IF(G679&lt;&gt;"",INDIRECT("'"&amp;G679&amp;"'!"&amp;H679),"")</f>
        <v>432000</v>
      </c>
      <c r="G679" s="1582" t="s">
        <v>6960</v>
      </c>
      <c r="H679" s="2" t="s">
        <v>4549</v>
      </c>
    </row>
    <row r="680" spans="1:11" x14ac:dyDescent="0.2">
      <c r="A680">
        <v>675</v>
      </c>
      <c r="B680" s="7">
        <f>'EstExp 12-20'!C58</f>
        <v>0</v>
      </c>
      <c r="C680" s="3">
        <f t="shared" si="19"/>
        <v>675</v>
      </c>
      <c r="E680" s="2" t="b">
        <f t="shared" ca="1" si="18"/>
        <v>1</v>
      </c>
      <c r="F680" s="2" cm="1">
        <f t="array" aca="1" ref="F680" ca="1">IF(G680&lt;&gt;"",INDIRECT("'"&amp;G680&amp;"'!"&amp;H680),"")</f>
        <v>0</v>
      </c>
      <c r="G680" s="1582" t="s">
        <v>6960</v>
      </c>
      <c r="H680" s="2" t="s">
        <v>4550</v>
      </c>
    </row>
    <row r="681" spans="1:11" x14ac:dyDescent="0.2">
      <c r="A681">
        <v>676</v>
      </c>
      <c r="B681" s="7">
        <f>'EstExp 12-20'!C59</f>
        <v>432000</v>
      </c>
      <c r="C681" s="3">
        <f t="shared" si="19"/>
        <v>-431324</v>
      </c>
      <c r="E681" s="2" t="b">
        <f t="shared" ca="1" si="18"/>
        <v>1</v>
      </c>
      <c r="F681" s="2" cm="1">
        <f t="array" aca="1" ref="F681" ca="1">IF(G681&lt;&gt;"",INDIRECT("'"&amp;G681&amp;"'!"&amp;H681),"")</f>
        <v>432000</v>
      </c>
      <c r="G681" s="1582" t="s">
        <v>6960</v>
      </c>
      <c r="H681" s="2" t="s">
        <v>4551</v>
      </c>
    </row>
    <row r="682" spans="1:11" x14ac:dyDescent="0.2">
      <c r="A682">
        <v>677</v>
      </c>
      <c r="B682" s="7">
        <f>'EstExp 12-20'!C61</f>
        <v>0</v>
      </c>
      <c r="C682" s="3">
        <f t="shared" si="19"/>
        <v>677</v>
      </c>
      <c r="E682" s="2" t="b">
        <f t="shared" ca="1" si="18"/>
        <v>1</v>
      </c>
      <c r="F682" s="2" cm="1">
        <f t="array" aca="1" ref="F682" ca="1">IF(G682&lt;&gt;"",INDIRECT("'"&amp;G682&amp;"'!"&amp;H682),"")</f>
        <v>0</v>
      </c>
      <c r="G682" s="1582" t="s">
        <v>6960</v>
      </c>
      <c r="H682" s="2" t="s">
        <v>4552</v>
      </c>
    </row>
    <row r="683" spans="1:11" x14ac:dyDescent="0.2">
      <c r="A683">
        <v>678</v>
      </c>
      <c r="B683" s="7">
        <f>'EstExp 12-20'!C62</f>
        <v>73800</v>
      </c>
      <c r="C683" s="3">
        <f t="shared" si="19"/>
        <v>-73122</v>
      </c>
      <c r="E683" s="2" t="b">
        <f t="shared" ca="1" si="18"/>
        <v>1</v>
      </c>
      <c r="F683" s="2" cm="1">
        <f t="array" aca="1" ref="F683" ca="1">IF(G683&lt;&gt;"",INDIRECT("'"&amp;G683&amp;"'!"&amp;H683),"")</f>
        <v>73800</v>
      </c>
      <c r="G683" s="1582" t="s">
        <v>6960</v>
      </c>
      <c r="H683" s="2" t="s">
        <v>4553</v>
      </c>
    </row>
    <row r="684" spans="1:11" x14ac:dyDescent="0.2">
      <c r="A684">
        <v>679</v>
      </c>
      <c r="B684" s="7">
        <f>'EstExp 12-20'!C63</f>
        <v>0</v>
      </c>
      <c r="C684" s="3">
        <f t="shared" si="19"/>
        <v>679</v>
      </c>
      <c r="E684" s="2" t="b">
        <f t="shared" ca="1" si="18"/>
        <v>1</v>
      </c>
      <c r="F684" s="2" cm="1">
        <f t="array" aca="1" ref="F684" ca="1">IF(G684&lt;&gt;"",INDIRECT("'"&amp;G684&amp;"'!"&amp;H684),"")</f>
        <v>0</v>
      </c>
      <c r="G684" s="1582" t="s">
        <v>6960</v>
      </c>
      <c r="H684" s="2" t="s">
        <v>4554</v>
      </c>
    </row>
    <row r="685" spans="1:11" x14ac:dyDescent="0.2">
      <c r="A685">
        <v>680</v>
      </c>
      <c r="B685" s="7">
        <f>'EstExp 12-20'!C64</f>
        <v>0</v>
      </c>
      <c r="C685" s="3">
        <f t="shared" si="19"/>
        <v>680</v>
      </c>
      <c r="E685" s="2" t="b">
        <f t="shared" ca="1" si="18"/>
        <v>1</v>
      </c>
      <c r="F685" s="2" cm="1">
        <f t="array" aca="1" ref="F685" ca="1">IF(G685&lt;&gt;"",INDIRECT("'"&amp;G685&amp;"'!"&amp;H685),"")</f>
        <v>0</v>
      </c>
      <c r="G685" s="1582" t="s">
        <v>6960</v>
      </c>
      <c r="H685" s="2" t="s">
        <v>4555</v>
      </c>
    </row>
    <row r="686" spans="1:11" x14ac:dyDescent="0.2">
      <c r="A686">
        <v>681</v>
      </c>
      <c r="B686" s="7">
        <f>'EstExp 12-20'!C65</f>
        <v>118000</v>
      </c>
      <c r="C686" s="3">
        <f t="shared" si="19"/>
        <v>-117319</v>
      </c>
      <c r="E686" s="2" t="b">
        <f t="shared" ca="1" si="18"/>
        <v>1</v>
      </c>
      <c r="F686" s="2" cm="1">
        <f t="array" aca="1" ref="F686" ca="1">IF(G686&lt;&gt;"",INDIRECT("'"&amp;G686&amp;"'!"&amp;H686),"")</f>
        <v>118000</v>
      </c>
      <c r="G686" s="1582" t="s">
        <v>6960</v>
      </c>
      <c r="H686" s="2" t="s">
        <v>4556</v>
      </c>
    </row>
    <row r="687" spans="1:11" x14ac:dyDescent="0.2">
      <c r="A687">
        <v>682</v>
      </c>
      <c r="B687" s="7">
        <f>'EstExp 12-20'!C66</f>
        <v>0</v>
      </c>
      <c r="C687" s="3">
        <f t="shared" si="19"/>
        <v>682</v>
      </c>
      <c r="E687" s="2" t="b">
        <f t="shared" ca="1" si="18"/>
        <v>1</v>
      </c>
      <c r="F687" s="2" cm="1">
        <f t="array" aca="1" ref="F687" ca="1">IF(G687&lt;&gt;"",INDIRECT("'"&amp;G687&amp;"'!"&amp;H687),"")</f>
        <v>0</v>
      </c>
      <c r="G687" s="1582" t="s">
        <v>6960</v>
      </c>
      <c r="H687" s="2" t="s">
        <v>4557</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191800</v>
      </c>
      <c r="C689" s="3">
        <f t="shared" si="19"/>
        <v>-191116</v>
      </c>
      <c r="E689" s="2" t="b">
        <f t="shared" ca="1" si="18"/>
        <v>1</v>
      </c>
      <c r="F689" s="2" cm="1">
        <f t="array" aca="1" ref="F689" ca="1">IF(G689&lt;&gt;"",INDIRECT("'"&amp;G689&amp;"'!"&amp;H689),"")</f>
        <v>191800</v>
      </c>
      <c r="G689" s="1582" t="s">
        <v>6960</v>
      </c>
      <c r="H689" s="2" t="s">
        <v>4558</v>
      </c>
    </row>
    <row r="690" spans="1:11" x14ac:dyDescent="0.2">
      <c r="A690">
        <v>685</v>
      </c>
      <c r="B690" s="7">
        <f>'EstExp 12-20'!C69</f>
        <v>0</v>
      </c>
      <c r="C690" s="3">
        <f t="shared" si="19"/>
        <v>685</v>
      </c>
      <c r="E690" s="2" t="b">
        <f t="shared" ca="1" si="18"/>
        <v>1</v>
      </c>
      <c r="F690" s="2" cm="1">
        <f t="array" aca="1" ref="F690" ca="1">IF(G690&lt;&gt;"",INDIRECT("'"&amp;G690&amp;"'!"&amp;H690),"")</f>
        <v>0</v>
      </c>
      <c r="G690" s="1582" t="s">
        <v>6960</v>
      </c>
      <c r="H690" s="2" t="s">
        <v>4559</v>
      </c>
    </row>
    <row r="691" spans="1:11" x14ac:dyDescent="0.2">
      <c r="A691">
        <v>686</v>
      </c>
      <c r="B691" s="7">
        <f>'EstExp 12-20'!C70</f>
        <v>0</v>
      </c>
      <c r="C691" s="3">
        <f t="shared" si="19"/>
        <v>686</v>
      </c>
      <c r="E691" s="2" t="b">
        <f t="shared" ca="1" si="18"/>
        <v>1</v>
      </c>
      <c r="F691" s="2" cm="1">
        <f t="array" aca="1" ref="F691" ca="1">IF(G691&lt;&gt;"",INDIRECT("'"&amp;G691&amp;"'!"&amp;H691),"")</f>
        <v>0</v>
      </c>
      <c r="G691" s="1582" t="s">
        <v>6960</v>
      </c>
      <c r="H691" s="2" t="s">
        <v>4560</v>
      </c>
    </row>
    <row r="692" spans="1:11" x14ac:dyDescent="0.2">
      <c r="A692">
        <v>687</v>
      </c>
      <c r="B692" s="7">
        <f>'EstExp 12-20'!C71</f>
        <v>0</v>
      </c>
      <c r="C692" s="3">
        <f t="shared" si="19"/>
        <v>687</v>
      </c>
      <c r="E692" s="2" t="b">
        <f t="shared" ca="1" si="18"/>
        <v>1</v>
      </c>
      <c r="F692" s="2" cm="1">
        <f t="array" aca="1" ref="F692" ca="1">IF(G692&lt;&gt;"",INDIRECT("'"&amp;G692&amp;"'!"&amp;H692),"")</f>
        <v>0</v>
      </c>
      <c r="G692" s="1582" t="s">
        <v>6960</v>
      </c>
      <c r="H692" s="2" t="s">
        <v>4561</v>
      </c>
    </row>
    <row r="693" spans="1:11" x14ac:dyDescent="0.2">
      <c r="A693">
        <v>688</v>
      </c>
      <c r="B693" s="7">
        <f>'EstExp 12-20'!C72</f>
        <v>0</v>
      </c>
      <c r="C693" s="3">
        <f t="shared" si="19"/>
        <v>688</v>
      </c>
      <c r="E693" s="2" t="b">
        <f t="shared" ca="1" si="18"/>
        <v>1</v>
      </c>
      <c r="F693" s="2" cm="1">
        <f t="array" aca="1" ref="F693" ca="1">IF(G693&lt;&gt;"",INDIRECT("'"&amp;G693&amp;"'!"&amp;H693),"")</f>
        <v>0</v>
      </c>
      <c r="G693" s="1582" t="s">
        <v>6960</v>
      </c>
      <c r="H693" s="2" t="s">
        <v>4562</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6960</v>
      </c>
      <c r="H695" s="2" t="s">
        <v>4563</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6960</v>
      </c>
      <c r="H697" s="2" t="s">
        <v>4564</v>
      </c>
    </row>
    <row r="698" spans="1:11" x14ac:dyDescent="0.2">
      <c r="A698">
        <v>693</v>
      </c>
      <c r="B698" s="7">
        <f>'EstExp 12-20'!C75</f>
        <v>0</v>
      </c>
      <c r="C698" s="3">
        <f t="shared" si="19"/>
        <v>693</v>
      </c>
      <c r="E698" s="2" t="b">
        <f t="shared" ca="1" si="18"/>
        <v>1</v>
      </c>
      <c r="F698" s="2" cm="1">
        <f t="array" aca="1" ref="F698" ca="1">IF(G698&lt;&gt;"",INDIRECT("'"&amp;G698&amp;"'!"&amp;H698),"")</f>
        <v>0</v>
      </c>
      <c r="G698" s="1582" t="s">
        <v>6960</v>
      </c>
      <c r="H698" s="2" t="s">
        <v>4565</v>
      </c>
    </row>
    <row r="699" spans="1:11" x14ac:dyDescent="0.2">
      <c r="A699">
        <v>694</v>
      </c>
      <c r="B699" s="7">
        <f>'EstExp 12-20'!C76</f>
        <v>1084750</v>
      </c>
      <c r="C699" s="3">
        <f t="shared" si="19"/>
        <v>-1084056</v>
      </c>
      <c r="E699" s="2" t="b">
        <f t="shared" ca="1" si="18"/>
        <v>1</v>
      </c>
      <c r="F699" s="2" cm="1">
        <f t="array" aca="1" ref="F699" ca="1">IF(G699&lt;&gt;"",INDIRECT("'"&amp;G699&amp;"'!"&amp;H699),"")</f>
        <v>1084750</v>
      </c>
      <c r="G699" s="1582" t="s">
        <v>6960</v>
      </c>
      <c r="H699" s="2" t="s">
        <v>4566</v>
      </c>
    </row>
    <row r="700" spans="1:11" x14ac:dyDescent="0.2">
      <c r="A700">
        <v>695</v>
      </c>
      <c r="B700" s="7">
        <f>'EstExp 12-20'!C77</f>
        <v>0</v>
      </c>
      <c r="C700" s="3">
        <f t="shared" si="19"/>
        <v>695</v>
      </c>
      <c r="E700" s="2" t="b">
        <f t="shared" ca="1" si="18"/>
        <v>1</v>
      </c>
      <c r="F700" s="2" cm="1">
        <f t="array" aca="1" ref="F700" ca="1">IF(G700&lt;&gt;"",INDIRECT("'"&amp;G700&amp;"'!"&amp;H700),"")</f>
        <v>0</v>
      </c>
      <c r="G700" s="1582" t="s">
        <v>6960</v>
      </c>
      <c r="H700" s="2" t="s">
        <v>4567</v>
      </c>
    </row>
    <row r="701" spans="1:11" x14ac:dyDescent="0.2">
      <c r="A701">
        <v>696</v>
      </c>
      <c r="B701" s="7">
        <f>'EstExp 12-20'!C116</f>
        <v>3390050</v>
      </c>
      <c r="C701" s="3">
        <f t="shared" si="19"/>
        <v>-3389354</v>
      </c>
      <c r="E701" s="2" t="b">
        <f t="shared" ca="1" si="18"/>
        <v>1</v>
      </c>
      <c r="F701" s="2" cm="1">
        <f t="array" aca="1" ref="F701" ca="1">IF(G701&lt;&gt;"",INDIRECT("'"&amp;G701&amp;"'!"&amp;H701),"")</f>
        <v>3390050</v>
      </c>
      <c r="G701" s="1582" t="s">
        <v>6960</v>
      </c>
      <c r="H701" s="2" t="s">
        <v>4568</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361950</v>
      </c>
      <c r="C707" s="3">
        <f t="shared" si="19"/>
        <v>-361248</v>
      </c>
      <c r="E707" s="2" t="b">
        <f t="shared" ca="1" si="20"/>
        <v>1</v>
      </c>
      <c r="F707" s="2" cm="1">
        <f t="array" aca="1" ref="F707" ca="1">IF(G707&lt;&gt;"",INDIRECT("'"&amp;G707&amp;"'!"&amp;H707),"")</f>
        <v>361950</v>
      </c>
      <c r="G707" s="1582" t="s">
        <v>6960</v>
      </c>
      <c r="H707" s="2" t="s">
        <v>4569</v>
      </c>
    </row>
    <row r="708" spans="1:11" x14ac:dyDescent="0.2">
      <c r="A708">
        <v>703</v>
      </c>
      <c r="B708" s="7">
        <f>'EstExp 12-20'!D16</f>
        <v>0</v>
      </c>
      <c r="C708" s="3">
        <f t="shared" si="19"/>
        <v>703</v>
      </c>
      <c r="E708" s="2" t="b">
        <f t="shared" ca="1" si="20"/>
        <v>1</v>
      </c>
      <c r="F708" s="2" cm="1">
        <f t="array" aca="1" ref="F708" ca="1">IF(G708&lt;&gt;"",INDIRECT("'"&amp;G708&amp;"'!"&amp;H708),"")</f>
        <v>0</v>
      </c>
      <c r="G708" s="1582" t="s">
        <v>6960</v>
      </c>
      <c r="H708" s="2" t="s">
        <v>4438</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6960</v>
      </c>
      <c r="H714" s="2" t="s">
        <v>4412</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6960</v>
      </c>
      <c r="H718" s="2" t="s">
        <v>4435</v>
      </c>
    </row>
    <row r="719" spans="1:11" x14ac:dyDescent="0.2">
      <c r="A719">
        <v>714</v>
      </c>
      <c r="B719" s="7">
        <f>'EstExp 12-20'!D13</f>
        <v>0</v>
      </c>
      <c r="C719" s="3">
        <f t="shared" si="21"/>
        <v>714</v>
      </c>
      <c r="E719" s="2" t="b">
        <f t="shared" ca="1" si="20"/>
        <v>1</v>
      </c>
      <c r="F719" s="2" cm="1">
        <f t="array" aca="1" ref="F719" ca="1">IF(G719&lt;&gt;"",INDIRECT("'"&amp;G719&amp;"'!"&amp;H719),"")</f>
        <v>0</v>
      </c>
      <c r="G719" s="1582" t="s">
        <v>6960</v>
      </c>
      <c r="H719" s="2" t="s">
        <v>4436</v>
      </c>
    </row>
    <row r="720" spans="1:11" x14ac:dyDescent="0.2">
      <c r="A720">
        <v>715</v>
      </c>
      <c r="B720" s="7">
        <f>'EstExp 12-20'!D14</f>
        <v>40200</v>
      </c>
      <c r="C720" s="3">
        <f t="shared" si="21"/>
        <v>-39485</v>
      </c>
      <c r="E720" s="2" t="b">
        <f t="shared" ca="1" si="20"/>
        <v>1</v>
      </c>
      <c r="F720" s="2" cm="1">
        <f t="array" aca="1" ref="F720" ca="1">IF(G720&lt;&gt;"",INDIRECT("'"&amp;G720&amp;"'!"&amp;H720),"")</f>
        <v>40200</v>
      </c>
      <c r="G720" s="1582" t="s">
        <v>6960</v>
      </c>
      <c r="H720" s="2" t="s">
        <v>4570</v>
      </c>
    </row>
    <row r="721" spans="1:8" x14ac:dyDescent="0.2">
      <c r="A721">
        <v>716</v>
      </c>
      <c r="B721" s="7">
        <f>'EstExp 12-20'!D15</f>
        <v>0</v>
      </c>
      <c r="C721" s="3">
        <f t="shared" si="21"/>
        <v>716</v>
      </c>
      <c r="E721" s="2" t="b">
        <f t="shared" ca="1" si="20"/>
        <v>1</v>
      </c>
      <c r="F721" s="2" cm="1">
        <f t="array" aca="1" ref="F721" ca="1">IF(G721&lt;&gt;"",INDIRECT("'"&amp;G721&amp;"'!"&amp;H721),"")</f>
        <v>0</v>
      </c>
      <c r="G721" s="1582" t="s">
        <v>6960</v>
      </c>
      <c r="H721" s="2" t="s">
        <v>4437</v>
      </c>
    </row>
    <row r="722" spans="1:8" x14ac:dyDescent="0.2">
      <c r="A722">
        <v>717</v>
      </c>
      <c r="B722" s="7">
        <f>'EstExp 12-20'!D34</f>
        <v>461450</v>
      </c>
      <c r="C722" s="3">
        <f t="shared" si="21"/>
        <v>-460733</v>
      </c>
      <c r="E722" s="2" t="b">
        <f t="shared" ca="1" si="20"/>
        <v>1</v>
      </c>
      <c r="F722" s="2" cm="1">
        <f t="array" aca="1" ref="F722" ca="1">IF(G722&lt;&gt;"",INDIRECT("'"&amp;G722&amp;"'!"&amp;H722),"")</f>
        <v>461450</v>
      </c>
      <c r="G722" s="1582" t="s">
        <v>6960</v>
      </c>
      <c r="H722" s="2" t="s">
        <v>4571</v>
      </c>
    </row>
    <row r="723" spans="1:8" x14ac:dyDescent="0.2">
      <c r="A723">
        <v>718</v>
      </c>
      <c r="B723" s="7">
        <f>'EstExp 12-20'!D38</f>
        <v>900</v>
      </c>
      <c r="C723" s="3">
        <f t="shared" si="21"/>
        <v>-182</v>
      </c>
      <c r="E723" s="2" t="b">
        <f t="shared" ca="1" si="20"/>
        <v>1</v>
      </c>
      <c r="F723" s="2" cm="1">
        <f t="array" aca="1" ref="F723" ca="1">IF(G723&lt;&gt;"",INDIRECT("'"&amp;G723&amp;"'!"&amp;H723),"")</f>
        <v>900</v>
      </c>
      <c r="G723" s="1582" t="s">
        <v>6960</v>
      </c>
      <c r="H723" s="2" t="s">
        <v>4572</v>
      </c>
    </row>
    <row r="724" spans="1:8" x14ac:dyDescent="0.2">
      <c r="A724">
        <v>719</v>
      </c>
      <c r="B724" s="7">
        <f>'EstExp 12-20'!D39</f>
        <v>19350</v>
      </c>
      <c r="C724" s="3">
        <f t="shared" si="21"/>
        <v>-18631</v>
      </c>
      <c r="E724" s="2" t="b">
        <f t="shared" ca="1" si="20"/>
        <v>1</v>
      </c>
      <c r="F724" s="2" cm="1">
        <f t="array" aca="1" ref="F724" ca="1">IF(G724&lt;&gt;"",INDIRECT("'"&amp;G724&amp;"'!"&amp;H724),"")</f>
        <v>19350</v>
      </c>
      <c r="G724" s="1582" t="s">
        <v>6960</v>
      </c>
      <c r="H724" s="2" t="s">
        <v>4573</v>
      </c>
    </row>
    <row r="725" spans="1:8" x14ac:dyDescent="0.2">
      <c r="A725">
        <v>720</v>
      </c>
      <c r="B725" s="7">
        <f>'EstExp 12-20'!D40</f>
        <v>0</v>
      </c>
      <c r="C725" s="3">
        <f t="shared" si="21"/>
        <v>720</v>
      </c>
      <c r="E725" s="2" t="b">
        <f t="shared" ca="1" si="20"/>
        <v>1</v>
      </c>
      <c r="F725" s="2" cm="1">
        <f t="array" aca="1" ref="F725" ca="1">IF(G725&lt;&gt;"",INDIRECT("'"&amp;G725&amp;"'!"&amp;H725),"")</f>
        <v>0</v>
      </c>
      <c r="G725" s="1582" t="s">
        <v>6960</v>
      </c>
      <c r="H725" s="2" t="s">
        <v>4574</v>
      </c>
    </row>
    <row r="726" spans="1:8" x14ac:dyDescent="0.2">
      <c r="A726">
        <v>721</v>
      </c>
      <c r="B726" s="7">
        <f>'EstExp 12-20'!D41</f>
        <v>0</v>
      </c>
      <c r="C726" s="3">
        <f t="shared" si="21"/>
        <v>721</v>
      </c>
      <c r="E726" s="2" t="b">
        <f t="shared" ca="1" si="20"/>
        <v>1</v>
      </c>
      <c r="F726" s="2" cm="1">
        <f t="array" aca="1" ref="F726" ca="1">IF(G726&lt;&gt;"",INDIRECT("'"&amp;G726&amp;"'!"&amp;H726),"")</f>
        <v>0</v>
      </c>
      <c r="G726" s="1582" t="s">
        <v>6960</v>
      </c>
      <c r="H726" s="2" t="s">
        <v>4575</v>
      </c>
    </row>
    <row r="727" spans="1:8" x14ac:dyDescent="0.2">
      <c r="A727">
        <v>722</v>
      </c>
      <c r="B727" s="7">
        <f>'EstExp 12-20'!D42</f>
        <v>0</v>
      </c>
      <c r="C727" s="3">
        <f t="shared" si="21"/>
        <v>722</v>
      </c>
      <c r="E727" s="2" t="b">
        <f t="shared" ca="1" si="20"/>
        <v>1</v>
      </c>
      <c r="F727" s="2" cm="1">
        <f t="array" aca="1" ref="F727" ca="1">IF(G727&lt;&gt;"",INDIRECT("'"&amp;G727&amp;"'!"&amp;H727),"")</f>
        <v>0</v>
      </c>
      <c r="G727" s="1582" t="s">
        <v>6960</v>
      </c>
      <c r="H727" s="2" t="s">
        <v>4576</v>
      </c>
    </row>
    <row r="728" spans="1:8" x14ac:dyDescent="0.2">
      <c r="A728">
        <v>723</v>
      </c>
      <c r="B728" s="7">
        <f>'EstExp 12-20'!D43</f>
        <v>0</v>
      </c>
      <c r="C728" s="3">
        <f t="shared" si="21"/>
        <v>723</v>
      </c>
      <c r="E728" s="2" t="b">
        <f t="shared" ca="1" si="20"/>
        <v>1</v>
      </c>
      <c r="F728" s="2" cm="1">
        <f t="array" aca="1" ref="F728" ca="1">IF(G728&lt;&gt;"",INDIRECT("'"&amp;G728&amp;"'!"&amp;H728),"")</f>
        <v>0</v>
      </c>
      <c r="G728" s="1582" t="s">
        <v>6960</v>
      </c>
      <c r="H728" s="2" t="s">
        <v>4577</v>
      </c>
    </row>
    <row r="729" spans="1:8" x14ac:dyDescent="0.2">
      <c r="A729">
        <v>724</v>
      </c>
      <c r="B729" s="7">
        <f>'EstExp 12-20'!D44</f>
        <v>20250</v>
      </c>
      <c r="C729" s="3">
        <f t="shared" si="21"/>
        <v>-19526</v>
      </c>
      <c r="E729" s="2" t="b">
        <f t="shared" ca="1" si="20"/>
        <v>1</v>
      </c>
      <c r="F729" s="2" cm="1">
        <f t="array" aca="1" ref="F729" ca="1">IF(G729&lt;&gt;"",INDIRECT("'"&amp;G729&amp;"'!"&amp;H729),"")</f>
        <v>20250</v>
      </c>
      <c r="G729" s="1582" t="s">
        <v>6960</v>
      </c>
      <c r="H729" s="2" t="s">
        <v>4578</v>
      </c>
    </row>
    <row r="730" spans="1:8" x14ac:dyDescent="0.2">
      <c r="A730">
        <v>725</v>
      </c>
      <c r="B730" s="7">
        <f>'EstExp 12-20'!D46</f>
        <v>1100</v>
      </c>
      <c r="C730" s="3">
        <f t="shared" si="21"/>
        <v>-375</v>
      </c>
      <c r="E730" s="2" t="b">
        <f t="shared" ca="1" si="20"/>
        <v>1</v>
      </c>
      <c r="F730" s="2" cm="1">
        <f t="array" aca="1" ref="F730" ca="1">IF(G730&lt;&gt;"",INDIRECT("'"&amp;G730&amp;"'!"&amp;H730),"")</f>
        <v>1100</v>
      </c>
      <c r="G730" s="1582" t="s">
        <v>6960</v>
      </c>
      <c r="H730" s="2" t="s">
        <v>4579</v>
      </c>
    </row>
    <row r="731" spans="1:8" x14ac:dyDescent="0.2">
      <c r="A731">
        <v>726</v>
      </c>
      <c r="B731" s="7">
        <f>'EstExp 12-20'!D47</f>
        <v>9500</v>
      </c>
      <c r="C731" s="3">
        <f t="shared" si="21"/>
        <v>-8774</v>
      </c>
      <c r="E731" s="2" t="b">
        <f t="shared" ca="1" si="20"/>
        <v>1</v>
      </c>
      <c r="F731" s="2" cm="1">
        <f t="array" aca="1" ref="F731" ca="1">IF(G731&lt;&gt;"",INDIRECT("'"&amp;G731&amp;"'!"&amp;H731),"")</f>
        <v>9500</v>
      </c>
      <c r="G731" s="1582" t="s">
        <v>6960</v>
      </c>
      <c r="H731" s="2" t="s">
        <v>4580</v>
      </c>
    </row>
    <row r="732" spans="1:8" x14ac:dyDescent="0.2">
      <c r="A732">
        <v>727</v>
      </c>
      <c r="B732" s="7">
        <f>'EstExp 12-20'!D48</f>
        <v>0</v>
      </c>
      <c r="C732" s="3">
        <f t="shared" si="21"/>
        <v>727</v>
      </c>
      <c r="E732" s="2" t="b">
        <f t="shared" ca="1" si="20"/>
        <v>1</v>
      </c>
      <c r="F732" s="2" cm="1">
        <f t="array" aca="1" ref="F732" ca="1">IF(G732&lt;&gt;"",INDIRECT("'"&amp;G732&amp;"'!"&amp;H732),"")</f>
        <v>0</v>
      </c>
      <c r="G732" s="1582" t="s">
        <v>6960</v>
      </c>
      <c r="H732" s="2" t="s">
        <v>4581</v>
      </c>
    </row>
    <row r="733" spans="1:8" x14ac:dyDescent="0.2">
      <c r="A733">
        <v>728</v>
      </c>
      <c r="B733" s="7">
        <f>'EstExp 12-20'!D49</f>
        <v>10600</v>
      </c>
      <c r="C733" s="3">
        <f t="shared" si="21"/>
        <v>-9872</v>
      </c>
      <c r="E733" s="2" t="b">
        <f t="shared" ca="1" si="20"/>
        <v>1</v>
      </c>
      <c r="F733" s="2" cm="1">
        <f t="array" aca="1" ref="F733" ca="1">IF(G733&lt;&gt;"",INDIRECT("'"&amp;G733&amp;"'!"&amp;H733),"")</f>
        <v>10600</v>
      </c>
      <c r="G733" s="1582" t="s">
        <v>6960</v>
      </c>
      <c r="H733" s="2" t="s">
        <v>4582</v>
      </c>
    </row>
    <row r="734" spans="1:8" x14ac:dyDescent="0.2">
      <c r="A734">
        <v>729</v>
      </c>
      <c r="B734" s="7">
        <f>'EstExp 12-20'!D51</f>
        <v>0</v>
      </c>
      <c r="C734" s="3">
        <f t="shared" si="21"/>
        <v>729</v>
      </c>
      <c r="E734" s="2" t="b">
        <f t="shared" ca="1" si="20"/>
        <v>1</v>
      </c>
      <c r="F734" s="2" cm="1">
        <f t="array" aca="1" ref="F734" ca="1">IF(G734&lt;&gt;"",INDIRECT("'"&amp;G734&amp;"'!"&amp;H734),"")</f>
        <v>0</v>
      </c>
      <c r="G734" s="1582" t="s">
        <v>6960</v>
      </c>
      <c r="H734" s="2" t="s">
        <v>4583</v>
      </c>
    </row>
    <row r="735" spans="1:8" x14ac:dyDescent="0.2">
      <c r="A735">
        <v>730</v>
      </c>
      <c r="B735" s="7">
        <f>'EstExp 12-20'!D52</f>
        <v>10600</v>
      </c>
      <c r="C735" s="3">
        <f t="shared" si="21"/>
        <v>-9870</v>
      </c>
      <c r="E735" s="2" t="b">
        <f t="shared" ca="1" si="20"/>
        <v>1</v>
      </c>
      <c r="F735" s="2" cm="1">
        <f t="array" aca="1" ref="F735" ca="1">IF(G735&lt;&gt;"",INDIRECT("'"&amp;G735&amp;"'!"&amp;H735),"")</f>
        <v>10600</v>
      </c>
      <c r="G735" s="1582" t="s">
        <v>6960</v>
      </c>
      <c r="H735" s="2" t="s">
        <v>4584</v>
      </c>
    </row>
    <row r="736" spans="1:8" x14ac:dyDescent="0.2">
      <c r="A736">
        <v>731</v>
      </c>
      <c r="B736" s="7">
        <f>'EstExp 12-20'!D55</f>
        <v>10600</v>
      </c>
      <c r="C736" s="3">
        <f t="shared" si="21"/>
        <v>-9869</v>
      </c>
      <c r="E736" s="2" t="b">
        <f t="shared" ca="1" si="20"/>
        <v>1</v>
      </c>
      <c r="F736" s="2" cm="1">
        <f t="array" aca="1" ref="F736" ca="1">IF(G736&lt;&gt;"",INDIRECT("'"&amp;G736&amp;"'!"&amp;H736),"")</f>
        <v>10600</v>
      </c>
      <c r="G736" s="1582" t="s">
        <v>6960</v>
      </c>
      <c r="H736" s="2" t="s">
        <v>4585</v>
      </c>
    </row>
    <row r="737" spans="1:11" x14ac:dyDescent="0.2">
      <c r="A737">
        <v>732</v>
      </c>
      <c r="B737" s="7">
        <f>'EstExp 12-20'!D57</f>
        <v>87900</v>
      </c>
      <c r="C737" s="3">
        <f t="shared" si="21"/>
        <v>-87168</v>
      </c>
      <c r="E737" s="2" t="b">
        <f t="shared" ca="1" si="20"/>
        <v>1</v>
      </c>
      <c r="F737" s="2" cm="1">
        <f t="array" aca="1" ref="F737" ca="1">IF(G737&lt;&gt;"",INDIRECT("'"&amp;G737&amp;"'!"&amp;H737),"")</f>
        <v>87900</v>
      </c>
      <c r="G737" s="1582" t="s">
        <v>6960</v>
      </c>
      <c r="H737" s="2" t="s">
        <v>4586</v>
      </c>
    </row>
    <row r="738" spans="1:11" x14ac:dyDescent="0.2">
      <c r="A738">
        <v>733</v>
      </c>
      <c r="B738" s="7">
        <f>'EstExp 12-20'!D58</f>
        <v>0</v>
      </c>
      <c r="C738" s="3">
        <f t="shared" si="21"/>
        <v>733</v>
      </c>
      <c r="E738" s="2" t="b">
        <f t="shared" ca="1" si="20"/>
        <v>1</v>
      </c>
      <c r="F738" s="2" cm="1">
        <f t="array" aca="1" ref="F738" ca="1">IF(G738&lt;&gt;"",INDIRECT("'"&amp;G738&amp;"'!"&amp;H738),"")</f>
        <v>0</v>
      </c>
      <c r="G738" s="1582" t="s">
        <v>6960</v>
      </c>
      <c r="H738" s="2" t="s">
        <v>4587</v>
      </c>
    </row>
    <row r="739" spans="1:11" x14ac:dyDescent="0.2">
      <c r="A739">
        <v>734</v>
      </c>
      <c r="B739" s="7">
        <f>'EstExp 12-20'!D59</f>
        <v>87900</v>
      </c>
      <c r="C739" s="3">
        <f t="shared" si="21"/>
        <v>-87166</v>
      </c>
      <c r="E739" s="2" t="b">
        <f t="shared" ca="1" si="20"/>
        <v>1</v>
      </c>
      <c r="F739" s="2" cm="1">
        <f t="array" aca="1" ref="F739" ca="1">IF(G739&lt;&gt;"",INDIRECT("'"&amp;G739&amp;"'!"&amp;H739),"")</f>
        <v>87900</v>
      </c>
      <c r="G739" s="1582" t="s">
        <v>6960</v>
      </c>
      <c r="H739" s="2" t="s">
        <v>4588</v>
      </c>
    </row>
    <row r="740" spans="1:11" x14ac:dyDescent="0.2">
      <c r="A740">
        <v>735</v>
      </c>
      <c r="B740" s="7">
        <f>'EstExp 12-20'!D61</f>
        <v>0</v>
      </c>
      <c r="C740" s="3">
        <f t="shared" si="21"/>
        <v>735</v>
      </c>
      <c r="E740" s="2" t="b">
        <f t="shared" ca="1" si="20"/>
        <v>1</v>
      </c>
      <c r="F740" s="2" cm="1">
        <f t="array" aca="1" ref="F740" ca="1">IF(G740&lt;&gt;"",INDIRECT("'"&amp;G740&amp;"'!"&amp;H740),"")</f>
        <v>0</v>
      </c>
      <c r="G740" s="1582" t="s">
        <v>6960</v>
      </c>
      <c r="H740" s="2" t="s">
        <v>4589</v>
      </c>
    </row>
    <row r="741" spans="1:11" x14ac:dyDescent="0.2">
      <c r="A741">
        <v>736</v>
      </c>
      <c r="B741" s="7">
        <f>'EstExp 12-20'!D62</f>
        <v>16350</v>
      </c>
      <c r="C741" s="3">
        <f t="shared" si="21"/>
        <v>-15614</v>
      </c>
      <c r="E741" s="2" t="b">
        <f t="shared" ca="1" si="20"/>
        <v>1</v>
      </c>
      <c r="F741" s="2" cm="1">
        <f t="array" aca="1" ref="F741" ca="1">IF(G741&lt;&gt;"",INDIRECT("'"&amp;G741&amp;"'!"&amp;H741),"")</f>
        <v>16350</v>
      </c>
      <c r="G741" s="1582" t="s">
        <v>6960</v>
      </c>
      <c r="H741" s="2" t="s">
        <v>4590</v>
      </c>
    </row>
    <row r="742" spans="1:11" x14ac:dyDescent="0.2">
      <c r="A742">
        <v>737</v>
      </c>
      <c r="B742" s="7">
        <f>'EstExp 12-20'!D63</f>
        <v>0</v>
      </c>
      <c r="C742" s="3">
        <f t="shared" si="21"/>
        <v>737</v>
      </c>
      <c r="E742" s="2" t="b">
        <f t="shared" ca="1" si="20"/>
        <v>1</v>
      </c>
      <c r="F742" s="2" cm="1">
        <f t="array" aca="1" ref="F742" ca="1">IF(G742&lt;&gt;"",INDIRECT("'"&amp;G742&amp;"'!"&amp;H742),"")</f>
        <v>0</v>
      </c>
      <c r="G742" s="1582" t="s">
        <v>6960</v>
      </c>
      <c r="H742" s="2" t="s">
        <v>4591</v>
      </c>
    </row>
    <row r="743" spans="1:11" x14ac:dyDescent="0.2">
      <c r="A743">
        <v>738</v>
      </c>
      <c r="B743" s="7">
        <f>'EstExp 12-20'!D64</f>
        <v>0</v>
      </c>
      <c r="C743" s="3">
        <f t="shared" si="21"/>
        <v>738</v>
      </c>
      <c r="E743" s="2" t="b">
        <f t="shared" ca="1" si="20"/>
        <v>1</v>
      </c>
      <c r="F743" s="2" cm="1">
        <f t="array" aca="1" ref="F743" ca="1">IF(G743&lt;&gt;"",INDIRECT("'"&amp;G743&amp;"'!"&amp;H743),"")</f>
        <v>0</v>
      </c>
      <c r="G743" s="1582" t="s">
        <v>6960</v>
      </c>
      <c r="H743" s="2" t="s">
        <v>4592</v>
      </c>
    </row>
    <row r="744" spans="1:11" x14ac:dyDescent="0.2">
      <c r="A744">
        <v>739</v>
      </c>
      <c r="B744" s="7">
        <f>'EstExp 12-20'!D65</f>
        <v>23900</v>
      </c>
      <c r="C744" s="3">
        <f t="shared" si="21"/>
        <v>-23161</v>
      </c>
      <c r="E744" s="2" t="b">
        <f t="shared" ca="1" si="20"/>
        <v>1</v>
      </c>
      <c r="F744" s="2" cm="1">
        <f t="array" aca="1" ref="F744" ca="1">IF(G744&lt;&gt;"",INDIRECT("'"&amp;G744&amp;"'!"&amp;H744),"")</f>
        <v>23900</v>
      </c>
      <c r="G744" s="1582" t="s">
        <v>6960</v>
      </c>
      <c r="H744" s="2" t="s">
        <v>4593</v>
      </c>
    </row>
    <row r="745" spans="1:11" x14ac:dyDescent="0.2">
      <c r="A745">
        <v>740</v>
      </c>
      <c r="B745" s="7">
        <f>'EstExp 12-20'!D66</f>
        <v>0</v>
      </c>
      <c r="C745" s="3">
        <f t="shared" si="21"/>
        <v>740</v>
      </c>
      <c r="E745" s="2" t="b">
        <f t="shared" ca="1" si="20"/>
        <v>1</v>
      </c>
      <c r="F745" s="2" cm="1">
        <f t="array" aca="1" ref="F745" ca="1">IF(G745&lt;&gt;"",INDIRECT("'"&amp;G745&amp;"'!"&amp;H745),"")</f>
        <v>0</v>
      </c>
      <c r="G745" s="1582" t="s">
        <v>6960</v>
      </c>
      <c r="H745" s="2" t="s">
        <v>4594</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40250</v>
      </c>
      <c r="C747" s="3">
        <f t="shared" si="21"/>
        <v>-39508</v>
      </c>
      <c r="E747" s="2" t="b">
        <f t="shared" ca="1" si="20"/>
        <v>1</v>
      </c>
      <c r="F747" s="2" cm="1">
        <f t="array" aca="1" ref="F747" ca="1">IF(G747&lt;&gt;"",INDIRECT("'"&amp;G747&amp;"'!"&amp;H747),"")</f>
        <v>40250</v>
      </c>
      <c r="G747" s="1582" t="s">
        <v>6960</v>
      </c>
      <c r="H747" s="2" t="s">
        <v>4595</v>
      </c>
    </row>
    <row r="748" spans="1:11" x14ac:dyDescent="0.2">
      <c r="A748">
        <v>743</v>
      </c>
      <c r="B748" s="7">
        <f>'EstExp 12-20'!D69</f>
        <v>0</v>
      </c>
      <c r="C748" s="3">
        <f t="shared" si="21"/>
        <v>743</v>
      </c>
      <c r="E748" s="2" t="b">
        <f t="shared" ca="1" si="20"/>
        <v>1</v>
      </c>
      <c r="F748" s="2" cm="1">
        <f t="array" aca="1" ref="F748" ca="1">IF(G748&lt;&gt;"",INDIRECT("'"&amp;G748&amp;"'!"&amp;H748),"")</f>
        <v>0</v>
      </c>
      <c r="G748" s="1582" t="s">
        <v>6960</v>
      </c>
      <c r="H748" s="2" t="s">
        <v>4596</v>
      </c>
    </row>
    <row r="749" spans="1:11" x14ac:dyDescent="0.2">
      <c r="A749">
        <v>744</v>
      </c>
      <c r="B749" s="7">
        <f>'EstExp 12-20'!D70</f>
        <v>0</v>
      </c>
      <c r="C749" s="3">
        <f t="shared" si="21"/>
        <v>744</v>
      </c>
      <c r="E749" s="2" t="b">
        <f t="shared" ca="1" si="20"/>
        <v>1</v>
      </c>
      <c r="F749" s="2" cm="1">
        <f t="array" aca="1" ref="F749" ca="1">IF(G749&lt;&gt;"",INDIRECT("'"&amp;G749&amp;"'!"&amp;H749),"")</f>
        <v>0</v>
      </c>
      <c r="G749" s="1582" t="s">
        <v>6960</v>
      </c>
      <c r="H749" s="2" t="s">
        <v>4597</v>
      </c>
    </row>
    <row r="750" spans="1:11" x14ac:dyDescent="0.2">
      <c r="A750">
        <v>745</v>
      </c>
      <c r="B750" s="7">
        <f>'EstExp 12-20'!D71</f>
        <v>0</v>
      </c>
      <c r="C750" s="3">
        <f t="shared" si="21"/>
        <v>745</v>
      </c>
      <c r="E750" s="2" t="b">
        <f t="shared" ca="1" si="20"/>
        <v>1</v>
      </c>
      <c r="F750" s="2" cm="1">
        <f t="array" aca="1" ref="F750" ca="1">IF(G750&lt;&gt;"",INDIRECT("'"&amp;G750&amp;"'!"&amp;H750),"")</f>
        <v>0</v>
      </c>
      <c r="G750" s="1582" t="s">
        <v>6960</v>
      </c>
      <c r="H750" s="2" t="s">
        <v>4598</v>
      </c>
    </row>
    <row r="751" spans="1:11" x14ac:dyDescent="0.2">
      <c r="A751">
        <v>746</v>
      </c>
      <c r="B751" s="7">
        <f>'EstExp 12-20'!D72</f>
        <v>0</v>
      </c>
      <c r="C751" s="3">
        <f t="shared" si="21"/>
        <v>746</v>
      </c>
      <c r="E751" s="2" t="b">
        <f t="shared" ca="1" si="20"/>
        <v>1</v>
      </c>
      <c r="F751" s="2" cm="1">
        <f t="array" aca="1" ref="F751" ca="1">IF(G751&lt;&gt;"",INDIRECT("'"&amp;G751&amp;"'!"&amp;H751),"")</f>
        <v>0</v>
      </c>
      <c r="G751" s="1582" t="s">
        <v>6960</v>
      </c>
      <c r="H751" s="2" t="s">
        <v>4599</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6960</v>
      </c>
      <c r="H753" s="2" t="s">
        <v>4600</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6960</v>
      </c>
      <c r="H755" s="2" t="s">
        <v>4601</v>
      </c>
    </row>
    <row r="756" spans="1:11" x14ac:dyDescent="0.2">
      <c r="A756">
        <v>751</v>
      </c>
      <c r="B756" s="7">
        <f>'EstExp 12-20'!D75</f>
        <v>0</v>
      </c>
      <c r="C756" s="3">
        <f t="shared" si="21"/>
        <v>751</v>
      </c>
      <c r="E756" s="2" t="b">
        <f t="shared" ca="1" si="20"/>
        <v>1</v>
      </c>
      <c r="F756" s="2" cm="1">
        <f t="array" aca="1" ref="F756" ca="1">IF(G756&lt;&gt;"",INDIRECT("'"&amp;G756&amp;"'!"&amp;H756),"")</f>
        <v>0</v>
      </c>
      <c r="G756" s="1582" t="s">
        <v>6960</v>
      </c>
      <c r="H756" s="2" t="s">
        <v>4602</v>
      </c>
    </row>
    <row r="757" spans="1:11" x14ac:dyDescent="0.2">
      <c r="A757">
        <v>752</v>
      </c>
      <c r="B757" s="7">
        <f>'EstExp 12-20'!D76</f>
        <v>169600</v>
      </c>
      <c r="C757" s="3">
        <f t="shared" si="21"/>
        <v>-168848</v>
      </c>
      <c r="E757" s="2" t="b">
        <f t="shared" ca="1" si="20"/>
        <v>1</v>
      </c>
      <c r="F757" s="2" cm="1">
        <f t="array" aca="1" ref="F757" ca="1">IF(G757&lt;&gt;"",INDIRECT("'"&amp;G757&amp;"'!"&amp;H757),"")</f>
        <v>169600</v>
      </c>
      <c r="G757" s="1582" t="s">
        <v>6960</v>
      </c>
      <c r="H757" s="2" t="s">
        <v>4603</v>
      </c>
    </row>
    <row r="758" spans="1:11" x14ac:dyDescent="0.2">
      <c r="A758">
        <v>753</v>
      </c>
      <c r="B758" s="7">
        <f>'EstExp 12-20'!D77</f>
        <v>0</v>
      </c>
      <c r="C758" s="3">
        <f t="shared" si="21"/>
        <v>753</v>
      </c>
      <c r="E758" s="2" t="b">
        <f t="shared" ca="1" si="20"/>
        <v>1</v>
      </c>
      <c r="F758" s="2" cm="1">
        <f t="array" aca="1" ref="F758" ca="1">IF(G758&lt;&gt;"",INDIRECT("'"&amp;G758&amp;"'!"&amp;H758),"")</f>
        <v>0</v>
      </c>
      <c r="G758" s="1582" t="s">
        <v>6960</v>
      </c>
      <c r="H758" s="2" t="s">
        <v>4604</v>
      </c>
    </row>
    <row r="759" spans="1:11" x14ac:dyDescent="0.2">
      <c r="A759">
        <v>754</v>
      </c>
      <c r="B759" s="7">
        <f>'EstExp 12-20'!D116</f>
        <v>631050</v>
      </c>
      <c r="C759" s="3">
        <f t="shared" si="21"/>
        <v>-630296</v>
      </c>
      <c r="E759" s="2" t="b">
        <f t="shared" ca="1" si="20"/>
        <v>1</v>
      </c>
      <c r="F759" s="2" cm="1">
        <f t="array" aca="1" ref="F759" ca="1">IF(G759&lt;&gt;"",INDIRECT("'"&amp;G759&amp;"'!"&amp;H759),"")</f>
        <v>631050</v>
      </c>
      <c r="G759" s="1582" t="s">
        <v>6960</v>
      </c>
      <c r="H759" s="2" t="s">
        <v>4605</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25900</v>
      </c>
      <c r="C765" s="3">
        <f t="shared" si="21"/>
        <v>-25140</v>
      </c>
      <c r="E765" s="2" t="b">
        <f t="shared" ca="1" si="20"/>
        <v>1</v>
      </c>
      <c r="F765" s="2" cm="1">
        <f t="array" aca="1" ref="F765" ca="1">IF(G765&lt;&gt;"",INDIRECT("'"&amp;G765&amp;"'!"&amp;H765),"")</f>
        <v>25900</v>
      </c>
      <c r="G765" s="1582" t="s">
        <v>6960</v>
      </c>
      <c r="H765" s="2" t="s">
        <v>4606</v>
      </c>
    </row>
    <row r="766" spans="1:11" x14ac:dyDescent="0.2">
      <c r="A766">
        <v>761</v>
      </c>
      <c r="B766" s="7">
        <f>'EstExp 12-20'!E16</f>
        <v>0</v>
      </c>
      <c r="C766" s="3">
        <f t="shared" si="21"/>
        <v>761</v>
      </c>
      <c r="E766" s="2" t="b">
        <f t="shared" ca="1" si="20"/>
        <v>1</v>
      </c>
      <c r="F766" s="2" cm="1">
        <f t="array" aca="1" ref="F766" ca="1">IF(G766&lt;&gt;"",INDIRECT("'"&amp;G766&amp;"'!"&amp;H766),"")</f>
        <v>0</v>
      </c>
      <c r="G766" s="1582" t="s">
        <v>6960</v>
      </c>
      <c r="H766" s="2" t="s">
        <v>4448</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6960</v>
      </c>
      <c r="H772" s="2" t="s">
        <v>4413</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6960</v>
      </c>
      <c r="H776" s="2" t="s">
        <v>4446</v>
      </c>
    </row>
    <row r="777" spans="1:11" x14ac:dyDescent="0.2">
      <c r="A777">
        <v>772</v>
      </c>
      <c r="B777" s="7">
        <f>'EstExp 12-20'!E13</f>
        <v>20200</v>
      </c>
      <c r="C777" s="3">
        <f t="shared" si="23"/>
        <v>-19428</v>
      </c>
      <c r="E777" s="2" t="b">
        <f t="shared" ca="1" si="22"/>
        <v>1</v>
      </c>
      <c r="F777" s="2" cm="1">
        <f t="array" aca="1" ref="F777" ca="1">IF(G777&lt;&gt;"",INDIRECT("'"&amp;G777&amp;"'!"&amp;H777),"")</f>
        <v>20200</v>
      </c>
      <c r="G777" s="1582" t="s">
        <v>6960</v>
      </c>
      <c r="H777" s="2" t="s">
        <v>4447</v>
      </c>
    </row>
    <row r="778" spans="1:11" x14ac:dyDescent="0.2">
      <c r="A778">
        <v>773</v>
      </c>
      <c r="B778" s="7">
        <f>'EstExp 12-20'!E14</f>
        <v>40800</v>
      </c>
      <c r="C778" s="3">
        <f t="shared" si="23"/>
        <v>-40027</v>
      </c>
      <c r="E778" s="2" t="b">
        <f t="shared" ca="1" si="22"/>
        <v>1</v>
      </c>
      <c r="F778" s="2" cm="1">
        <f t="array" aca="1" ref="F778" ca="1">IF(G778&lt;&gt;"",INDIRECT("'"&amp;G778&amp;"'!"&amp;H778),"")</f>
        <v>40800</v>
      </c>
      <c r="G778" s="1582" t="s">
        <v>6960</v>
      </c>
      <c r="H778" s="2" t="s">
        <v>4607</v>
      </c>
    </row>
    <row r="779" spans="1:11" x14ac:dyDescent="0.2">
      <c r="A779">
        <v>774</v>
      </c>
      <c r="B779" s="7">
        <f>'EstExp 12-20'!E15</f>
        <v>0</v>
      </c>
      <c r="C779" s="3">
        <f t="shared" si="23"/>
        <v>774</v>
      </c>
      <c r="E779" s="2" t="b">
        <f t="shared" ca="1" si="22"/>
        <v>1</v>
      </c>
      <c r="F779" s="2" cm="1">
        <f t="array" aca="1" ref="F779" ca="1">IF(G779&lt;&gt;"",INDIRECT("'"&amp;G779&amp;"'!"&amp;H779),"")</f>
        <v>0</v>
      </c>
      <c r="G779" s="1582" t="s">
        <v>6960</v>
      </c>
      <c r="H779" s="2" t="s">
        <v>4608</v>
      </c>
    </row>
    <row r="780" spans="1:11" x14ac:dyDescent="0.2">
      <c r="A780">
        <v>775</v>
      </c>
      <c r="B780" s="7">
        <f>'EstExp 12-20'!E34</f>
        <v>236600</v>
      </c>
      <c r="C780" s="3">
        <f t="shared" si="23"/>
        <v>-235825</v>
      </c>
      <c r="E780" s="2" t="b">
        <f t="shared" ca="1" si="22"/>
        <v>1</v>
      </c>
      <c r="F780" s="2" cm="1">
        <f t="array" aca="1" ref="F780" ca="1">IF(G780&lt;&gt;"",INDIRECT("'"&amp;G780&amp;"'!"&amp;H780),"")</f>
        <v>236600</v>
      </c>
      <c r="G780" s="1582" t="s">
        <v>6960</v>
      </c>
      <c r="H780" s="2" t="s">
        <v>4609</v>
      </c>
    </row>
    <row r="781" spans="1:11" x14ac:dyDescent="0.2">
      <c r="A781">
        <v>776</v>
      </c>
      <c r="B781" s="7">
        <f>'EstExp 12-20'!E38</f>
        <v>400</v>
      </c>
      <c r="C781" s="3">
        <f t="shared" si="23"/>
        <v>376</v>
      </c>
      <c r="E781" s="2" t="b">
        <f t="shared" ca="1" si="22"/>
        <v>1</v>
      </c>
      <c r="F781" s="2" cm="1">
        <f t="array" aca="1" ref="F781" ca="1">IF(G781&lt;&gt;"",INDIRECT("'"&amp;G781&amp;"'!"&amp;H781),"")</f>
        <v>400</v>
      </c>
      <c r="G781" s="1582" t="s">
        <v>6960</v>
      </c>
      <c r="H781" s="2" t="s">
        <v>4610</v>
      </c>
    </row>
    <row r="782" spans="1:11" x14ac:dyDescent="0.2">
      <c r="A782">
        <v>777</v>
      </c>
      <c r="B782" s="7">
        <f>'EstExp 12-20'!E39</f>
        <v>300</v>
      </c>
      <c r="C782" s="3">
        <f t="shared" si="23"/>
        <v>477</v>
      </c>
      <c r="E782" s="2" t="b">
        <f t="shared" ca="1" si="22"/>
        <v>1</v>
      </c>
      <c r="F782" s="2" cm="1">
        <f t="array" aca="1" ref="F782" ca="1">IF(G782&lt;&gt;"",INDIRECT("'"&amp;G782&amp;"'!"&amp;H782),"")</f>
        <v>300</v>
      </c>
      <c r="G782" s="1582" t="s">
        <v>6960</v>
      </c>
      <c r="H782" s="2" t="s">
        <v>4611</v>
      </c>
    </row>
    <row r="783" spans="1:11" x14ac:dyDescent="0.2">
      <c r="A783">
        <v>778</v>
      </c>
      <c r="B783" s="7">
        <f>'EstExp 12-20'!E40</f>
        <v>1000</v>
      </c>
      <c r="C783" s="3">
        <f t="shared" si="23"/>
        <v>-222</v>
      </c>
      <c r="E783" s="2" t="b">
        <f t="shared" ca="1" si="22"/>
        <v>1</v>
      </c>
      <c r="F783" s="2" cm="1">
        <f t="array" aca="1" ref="F783" ca="1">IF(G783&lt;&gt;"",INDIRECT("'"&amp;G783&amp;"'!"&amp;H783),"")</f>
        <v>1000</v>
      </c>
      <c r="G783" s="1582" t="s">
        <v>6960</v>
      </c>
      <c r="H783" s="2" t="s">
        <v>4612</v>
      </c>
    </row>
    <row r="784" spans="1:11" x14ac:dyDescent="0.2">
      <c r="A784">
        <v>779</v>
      </c>
      <c r="B784" s="7">
        <f>'EstExp 12-20'!E41</f>
        <v>0</v>
      </c>
      <c r="C784" s="3">
        <f t="shared" si="23"/>
        <v>779</v>
      </c>
      <c r="E784" s="2" t="b">
        <f t="shared" ca="1" si="22"/>
        <v>1</v>
      </c>
      <c r="F784" s="2" cm="1">
        <f t="array" aca="1" ref="F784" ca="1">IF(G784&lt;&gt;"",INDIRECT("'"&amp;G784&amp;"'!"&amp;H784),"")</f>
        <v>0</v>
      </c>
      <c r="G784" s="1582" t="s">
        <v>6960</v>
      </c>
      <c r="H784" s="2" t="s">
        <v>4613</v>
      </c>
    </row>
    <row r="785" spans="1:8" x14ac:dyDescent="0.2">
      <c r="A785">
        <v>780</v>
      </c>
      <c r="B785" s="7">
        <f>'EstExp 12-20'!E42</f>
        <v>52000</v>
      </c>
      <c r="C785" s="3">
        <f t="shared" si="23"/>
        <v>-51220</v>
      </c>
      <c r="E785" s="2" t="b">
        <f t="shared" ca="1" si="22"/>
        <v>1</v>
      </c>
      <c r="F785" s="2" cm="1">
        <f t="array" aca="1" ref="F785" ca="1">IF(G785&lt;&gt;"",INDIRECT("'"&amp;G785&amp;"'!"&amp;H785),"")</f>
        <v>52000</v>
      </c>
      <c r="G785" s="1582" t="s">
        <v>6960</v>
      </c>
      <c r="H785" s="2" t="s">
        <v>4614</v>
      </c>
    </row>
    <row r="786" spans="1:8" x14ac:dyDescent="0.2">
      <c r="A786">
        <v>781</v>
      </c>
      <c r="B786" s="7">
        <f>'EstExp 12-20'!E43</f>
        <v>0</v>
      </c>
      <c r="C786" s="3">
        <f t="shared" si="23"/>
        <v>781</v>
      </c>
      <c r="E786" s="2" t="b">
        <f t="shared" ca="1" si="22"/>
        <v>1</v>
      </c>
      <c r="F786" s="2" cm="1">
        <f t="array" aca="1" ref="F786" ca="1">IF(G786&lt;&gt;"",INDIRECT("'"&amp;G786&amp;"'!"&amp;H786),"")</f>
        <v>0</v>
      </c>
      <c r="G786" s="1582" t="s">
        <v>6960</v>
      </c>
      <c r="H786" s="2" t="s">
        <v>4615</v>
      </c>
    </row>
    <row r="787" spans="1:8" x14ac:dyDescent="0.2">
      <c r="A787">
        <v>782</v>
      </c>
      <c r="B787" s="7">
        <f>'EstExp 12-20'!E44</f>
        <v>53700</v>
      </c>
      <c r="C787" s="3">
        <f t="shared" si="23"/>
        <v>-52918</v>
      </c>
      <c r="E787" s="2" t="b">
        <f t="shared" ca="1" si="22"/>
        <v>1</v>
      </c>
      <c r="F787" s="2" cm="1">
        <f t="array" aca="1" ref="F787" ca="1">IF(G787&lt;&gt;"",INDIRECT("'"&amp;G787&amp;"'!"&amp;H787),"")</f>
        <v>53700</v>
      </c>
      <c r="G787" s="1582" t="s">
        <v>6960</v>
      </c>
      <c r="H787" s="2" t="s">
        <v>4616</v>
      </c>
    </row>
    <row r="788" spans="1:8" x14ac:dyDescent="0.2">
      <c r="A788">
        <v>783</v>
      </c>
      <c r="B788" s="7">
        <f>'EstExp 12-20'!E46</f>
        <v>0</v>
      </c>
      <c r="C788" s="3">
        <f t="shared" si="23"/>
        <v>783</v>
      </c>
      <c r="E788" s="2" t="b">
        <f t="shared" ca="1" si="22"/>
        <v>1</v>
      </c>
      <c r="F788" s="2" cm="1">
        <f t="array" aca="1" ref="F788" ca="1">IF(G788&lt;&gt;"",INDIRECT("'"&amp;G788&amp;"'!"&amp;H788),"")</f>
        <v>0</v>
      </c>
      <c r="G788" s="1582" t="s">
        <v>6960</v>
      </c>
      <c r="H788" s="2" t="s">
        <v>4617</v>
      </c>
    </row>
    <row r="789" spans="1:8" x14ac:dyDescent="0.2">
      <c r="A789">
        <v>784</v>
      </c>
      <c r="B789" s="7">
        <f>'EstExp 12-20'!E47</f>
        <v>0</v>
      </c>
      <c r="C789" s="3">
        <f t="shared" si="23"/>
        <v>784</v>
      </c>
      <c r="E789" s="2" t="b">
        <f t="shared" ca="1" si="22"/>
        <v>1</v>
      </c>
      <c r="F789" s="2" cm="1">
        <f t="array" aca="1" ref="F789" ca="1">IF(G789&lt;&gt;"",INDIRECT("'"&amp;G789&amp;"'!"&amp;H789),"")</f>
        <v>0</v>
      </c>
      <c r="G789" s="1582" t="s">
        <v>6960</v>
      </c>
      <c r="H789" s="2" t="s">
        <v>4618</v>
      </c>
    </row>
    <row r="790" spans="1:8" x14ac:dyDescent="0.2">
      <c r="A790">
        <v>785</v>
      </c>
      <c r="B790" s="7">
        <f>'EstExp 12-20'!E48</f>
        <v>30000</v>
      </c>
      <c r="C790" s="3">
        <f t="shared" si="23"/>
        <v>-29215</v>
      </c>
      <c r="E790" s="2" t="b">
        <f t="shared" ca="1" si="22"/>
        <v>1</v>
      </c>
      <c r="F790" s="2" cm="1">
        <f t="array" aca="1" ref="F790" ca="1">IF(G790&lt;&gt;"",INDIRECT("'"&amp;G790&amp;"'!"&amp;H790),"")</f>
        <v>30000</v>
      </c>
      <c r="G790" s="1582" t="s">
        <v>6960</v>
      </c>
      <c r="H790" s="2" t="s">
        <v>4619</v>
      </c>
    </row>
    <row r="791" spans="1:8" x14ac:dyDescent="0.2">
      <c r="A791">
        <v>786</v>
      </c>
      <c r="B791" s="7">
        <f>'EstExp 12-20'!E49</f>
        <v>30000</v>
      </c>
      <c r="C791" s="3">
        <f t="shared" si="23"/>
        <v>-29214</v>
      </c>
      <c r="E791" s="2" t="b">
        <f t="shared" ca="1" si="22"/>
        <v>1</v>
      </c>
      <c r="F791" s="2" cm="1">
        <f t="array" aca="1" ref="F791" ca="1">IF(G791&lt;&gt;"",INDIRECT("'"&amp;G791&amp;"'!"&amp;H791),"")</f>
        <v>30000</v>
      </c>
      <c r="G791" s="1582" t="s">
        <v>6960</v>
      </c>
      <c r="H791" s="2" t="s">
        <v>4620</v>
      </c>
    </row>
    <row r="792" spans="1:8" x14ac:dyDescent="0.2">
      <c r="A792">
        <v>787</v>
      </c>
      <c r="B792" s="7">
        <f>'EstExp 12-20'!E51</f>
        <v>36600</v>
      </c>
      <c r="C792" s="3">
        <f t="shared" si="23"/>
        <v>-35813</v>
      </c>
      <c r="E792" s="2" t="b">
        <f t="shared" ca="1" si="22"/>
        <v>1</v>
      </c>
      <c r="F792" s="2" cm="1">
        <f t="array" aca="1" ref="F792" ca="1">IF(G792&lt;&gt;"",INDIRECT("'"&amp;G792&amp;"'!"&amp;H792),"")</f>
        <v>36600</v>
      </c>
      <c r="G792" s="1582" t="s">
        <v>6960</v>
      </c>
      <c r="H792" s="2" t="s">
        <v>4621</v>
      </c>
    </row>
    <row r="793" spans="1:8" x14ac:dyDescent="0.2">
      <c r="A793">
        <v>788</v>
      </c>
      <c r="B793" s="7">
        <f>'EstExp 12-20'!E52</f>
        <v>1300</v>
      </c>
      <c r="C793" s="3">
        <f t="shared" si="23"/>
        <v>-512</v>
      </c>
      <c r="E793" s="2" t="b">
        <f t="shared" ca="1" si="22"/>
        <v>1</v>
      </c>
      <c r="F793" s="2" cm="1">
        <f t="array" aca="1" ref="F793" ca="1">IF(G793&lt;&gt;"",INDIRECT("'"&amp;G793&amp;"'!"&amp;H793),"")</f>
        <v>1300</v>
      </c>
      <c r="G793" s="1582" t="s">
        <v>6960</v>
      </c>
      <c r="H793" s="2" t="s">
        <v>4622</v>
      </c>
    </row>
    <row r="794" spans="1:8" x14ac:dyDescent="0.2">
      <c r="A794">
        <v>789</v>
      </c>
      <c r="B794" s="7">
        <f>'EstExp 12-20'!E55</f>
        <v>37900</v>
      </c>
      <c r="C794" s="3">
        <f t="shared" si="23"/>
        <v>-37111</v>
      </c>
      <c r="E794" s="2" t="b">
        <f t="shared" ca="1" si="22"/>
        <v>1</v>
      </c>
      <c r="F794" s="2" cm="1">
        <f t="array" aca="1" ref="F794" ca="1">IF(G794&lt;&gt;"",INDIRECT("'"&amp;G794&amp;"'!"&amp;H794),"")</f>
        <v>37900</v>
      </c>
      <c r="G794" s="1582" t="s">
        <v>6960</v>
      </c>
      <c r="H794" s="2" t="s">
        <v>4623</v>
      </c>
    </row>
    <row r="795" spans="1:8" x14ac:dyDescent="0.2">
      <c r="A795">
        <v>790</v>
      </c>
      <c r="B795" s="7">
        <f>'EstExp 12-20'!E57</f>
        <v>43000</v>
      </c>
      <c r="C795" s="3">
        <f t="shared" si="23"/>
        <v>-42210</v>
      </c>
      <c r="E795" s="2" t="b">
        <f t="shared" ca="1" si="22"/>
        <v>1</v>
      </c>
      <c r="F795" s="2" cm="1">
        <f t="array" aca="1" ref="F795" ca="1">IF(G795&lt;&gt;"",INDIRECT("'"&amp;G795&amp;"'!"&amp;H795),"")</f>
        <v>43000</v>
      </c>
      <c r="G795" s="1582" t="s">
        <v>6960</v>
      </c>
      <c r="H795" s="2" t="s">
        <v>4624</v>
      </c>
    </row>
    <row r="796" spans="1:8" x14ac:dyDescent="0.2">
      <c r="A796">
        <v>791</v>
      </c>
      <c r="B796" s="7">
        <f>'EstExp 12-20'!E58</f>
        <v>0</v>
      </c>
      <c r="C796" s="3">
        <f t="shared" si="23"/>
        <v>791</v>
      </c>
      <c r="E796" s="2" t="b">
        <f t="shared" ca="1" si="22"/>
        <v>1</v>
      </c>
      <c r="F796" s="2" cm="1">
        <f t="array" aca="1" ref="F796" ca="1">IF(G796&lt;&gt;"",INDIRECT("'"&amp;G796&amp;"'!"&amp;H796),"")</f>
        <v>0</v>
      </c>
      <c r="G796" s="1582" t="s">
        <v>6960</v>
      </c>
      <c r="H796" s="2" t="s">
        <v>4625</v>
      </c>
    </row>
    <row r="797" spans="1:8" x14ac:dyDescent="0.2">
      <c r="A797">
        <v>792</v>
      </c>
      <c r="B797" s="7">
        <f>'EstExp 12-20'!E59</f>
        <v>43000</v>
      </c>
      <c r="C797" s="3">
        <f t="shared" si="23"/>
        <v>-42208</v>
      </c>
      <c r="E797" s="2" t="b">
        <f t="shared" ca="1" si="22"/>
        <v>1</v>
      </c>
      <c r="F797" s="2" cm="1">
        <f t="array" aca="1" ref="F797" ca="1">IF(G797&lt;&gt;"",INDIRECT("'"&amp;G797&amp;"'!"&amp;H797),"")</f>
        <v>43000</v>
      </c>
      <c r="G797" s="1582" t="s">
        <v>6960</v>
      </c>
      <c r="H797" s="2" t="s">
        <v>4626</v>
      </c>
    </row>
    <row r="798" spans="1:8" x14ac:dyDescent="0.2">
      <c r="A798">
        <v>793</v>
      </c>
      <c r="B798" s="7">
        <f>'EstExp 12-20'!E61</f>
        <v>0</v>
      </c>
      <c r="C798" s="3">
        <f t="shared" si="23"/>
        <v>793</v>
      </c>
      <c r="E798" s="2" t="b">
        <f t="shared" ca="1" si="22"/>
        <v>1</v>
      </c>
      <c r="F798" s="2" cm="1">
        <f t="array" aca="1" ref="F798" ca="1">IF(G798&lt;&gt;"",INDIRECT("'"&amp;G798&amp;"'!"&amp;H798),"")</f>
        <v>0</v>
      </c>
      <c r="G798" s="1582" t="s">
        <v>6960</v>
      </c>
      <c r="H798" s="2" t="s">
        <v>4627</v>
      </c>
    </row>
    <row r="799" spans="1:8" x14ac:dyDescent="0.2">
      <c r="A799">
        <v>794</v>
      </c>
      <c r="B799" s="7">
        <f>'EstExp 12-20'!E62</f>
        <v>4700</v>
      </c>
      <c r="C799" s="3">
        <f t="shared" si="23"/>
        <v>-3906</v>
      </c>
      <c r="E799" s="2" t="b">
        <f t="shared" ca="1" si="22"/>
        <v>1</v>
      </c>
      <c r="F799" s="2" cm="1">
        <f t="array" aca="1" ref="F799" ca="1">IF(G799&lt;&gt;"",INDIRECT("'"&amp;G799&amp;"'!"&amp;H799),"")</f>
        <v>4700</v>
      </c>
      <c r="G799" s="1582" t="s">
        <v>6960</v>
      </c>
      <c r="H799" s="2" t="s">
        <v>4628</v>
      </c>
    </row>
    <row r="800" spans="1:8" x14ac:dyDescent="0.2">
      <c r="A800">
        <v>795</v>
      </c>
      <c r="B800" s="7">
        <f>'EstExp 12-20'!E63</f>
        <v>0</v>
      </c>
      <c r="C800" s="3">
        <f t="shared" si="23"/>
        <v>795</v>
      </c>
      <c r="E800" s="2" t="b">
        <f t="shared" ca="1" si="22"/>
        <v>1</v>
      </c>
      <c r="F800" s="2" cm="1">
        <f t="array" aca="1" ref="F800" ca="1">IF(G800&lt;&gt;"",INDIRECT("'"&amp;G800&amp;"'!"&amp;H800),"")</f>
        <v>0</v>
      </c>
      <c r="G800" s="1582" t="s">
        <v>6960</v>
      </c>
      <c r="H800" s="2" t="s">
        <v>4629</v>
      </c>
    </row>
    <row r="801" spans="1:11" x14ac:dyDescent="0.2">
      <c r="A801">
        <v>796</v>
      </c>
      <c r="B801" s="7">
        <f>'EstExp 12-20'!E64</f>
        <v>0</v>
      </c>
      <c r="C801" s="3">
        <f t="shared" si="23"/>
        <v>796</v>
      </c>
      <c r="E801" s="2" t="b">
        <f t="shared" ca="1" si="22"/>
        <v>1</v>
      </c>
      <c r="F801" s="2" cm="1">
        <f t="array" aca="1" ref="F801" ca="1">IF(G801&lt;&gt;"",INDIRECT("'"&amp;G801&amp;"'!"&amp;H801),"")</f>
        <v>0</v>
      </c>
      <c r="G801" s="1582" t="s">
        <v>6960</v>
      </c>
      <c r="H801" s="2" t="s">
        <v>4630</v>
      </c>
    </row>
    <row r="802" spans="1:11" x14ac:dyDescent="0.2">
      <c r="A802">
        <v>797</v>
      </c>
      <c r="B802" s="7">
        <f>'EstExp 12-20'!E65</f>
        <v>3400</v>
      </c>
      <c r="C802" s="3">
        <f t="shared" si="23"/>
        <v>-2603</v>
      </c>
      <c r="E802" s="2" t="b">
        <f t="shared" ca="1" si="22"/>
        <v>1</v>
      </c>
      <c r="F802" s="2" cm="1">
        <f t="array" aca="1" ref="F802" ca="1">IF(G802&lt;&gt;"",INDIRECT("'"&amp;G802&amp;"'!"&amp;H802),"")</f>
        <v>3400</v>
      </c>
      <c r="G802" s="1582" t="s">
        <v>6960</v>
      </c>
      <c r="H802" s="2" t="s">
        <v>4631</v>
      </c>
    </row>
    <row r="803" spans="1:11" x14ac:dyDescent="0.2">
      <c r="A803">
        <v>798</v>
      </c>
      <c r="B803" s="7">
        <f>'EstExp 12-20'!E66</f>
        <v>0</v>
      </c>
      <c r="C803" s="3">
        <f t="shared" si="23"/>
        <v>798</v>
      </c>
      <c r="E803" s="2" t="b">
        <f t="shared" ca="1" si="22"/>
        <v>1</v>
      </c>
      <c r="F803" s="2" cm="1">
        <f t="array" aca="1" ref="F803" ca="1">IF(G803&lt;&gt;"",INDIRECT("'"&amp;G803&amp;"'!"&amp;H803),"")</f>
        <v>0</v>
      </c>
      <c r="G803" s="1582" t="s">
        <v>6960</v>
      </c>
      <c r="H803" s="2" t="s">
        <v>4632</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8100</v>
      </c>
      <c r="C805" s="3">
        <f t="shared" si="23"/>
        <v>-7300</v>
      </c>
      <c r="E805" s="2" t="b">
        <f t="shared" ca="1" si="22"/>
        <v>1</v>
      </c>
      <c r="F805" s="2" cm="1">
        <f t="array" aca="1" ref="F805" ca="1">IF(G805&lt;&gt;"",INDIRECT("'"&amp;G805&amp;"'!"&amp;H805),"")</f>
        <v>8100</v>
      </c>
      <c r="G805" s="1582" t="s">
        <v>6960</v>
      </c>
      <c r="H805" s="2" t="s">
        <v>4633</v>
      </c>
    </row>
    <row r="806" spans="1:11" x14ac:dyDescent="0.2">
      <c r="A806">
        <v>801</v>
      </c>
      <c r="B806" s="7">
        <f>'EstExp 12-20'!E69</f>
        <v>0</v>
      </c>
      <c r="C806" s="3">
        <f t="shared" si="23"/>
        <v>801</v>
      </c>
      <c r="E806" s="2" t="b">
        <f t="shared" ca="1" si="22"/>
        <v>1</v>
      </c>
      <c r="F806" s="2" cm="1">
        <f t="array" aca="1" ref="F806" ca="1">IF(G806&lt;&gt;"",INDIRECT("'"&amp;G806&amp;"'!"&amp;H806),"")</f>
        <v>0</v>
      </c>
      <c r="G806" s="1582" t="s">
        <v>6960</v>
      </c>
      <c r="H806" s="2" t="s">
        <v>4634</v>
      </c>
    </row>
    <row r="807" spans="1:11" x14ac:dyDescent="0.2">
      <c r="A807">
        <v>802</v>
      </c>
      <c r="B807" s="7">
        <f>'EstExp 12-20'!E70</f>
        <v>0</v>
      </c>
      <c r="C807" s="3">
        <f t="shared" si="23"/>
        <v>802</v>
      </c>
      <c r="E807" s="2" t="b">
        <f t="shared" ca="1" si="22"/>
        <v>1</v>
      </c>
      <c r="F807" s="2" cm="1">
        <f t="array" aca="1" ref="F807" ca="1">IF(G807&lt;&gt;"",INDIRECT("'"&amp;G807&amp;"'!"&amp;H807),"")</f>
        <v>0</v>
      </c>
      <c r="G807" s="1582" t="s">
        <v>6960</v>
      </c>
      <c r="H807" s="2" t="s">
        <v>4635</v>
      </c>
    </row>
    <row r="808" spans="1:11" x14ac:dyDescent="0.2">
      <c r="A808">
        <v>803</v>
      </c>
      <c r="B808" s="7">
        <f>'EstExp 12-20'!E71</f>
        <v>0</v>
      </c>
      <c r="C808" s="3">
        <f t="shared" si="23"/>
        <v>803</v>
      </c>
      <c r="E808" s="2" t="b">
        <f t="shared" ca="1" si="22"/>
        <v>1</v>
      </c>
      <c r="F808" s="2" cm="1">
        <f t="array" aca="1" ref="F808" ca="1">IF(G808&lt;&gt;"",INDIRECT("'"&amp;G808&amp;"'!"&amp;H808),"")</f>
        <v>0</v>
      </c>
      <c r="G808" s="1582" t="s">
        <v>6960</v>
      </c>
      <c r="H808" s="2" t="s">
        <v>4636</v>
      </c>
    </row>
    <row r="809" spans="1:11" x14ac:dyDescent="0.2">
      <c r="A809">
        <v>804</v>
      </c>
      <c r="B809" s="7">
        <f>'EstExp 12-20'!E72</f>
        <v>0</v>
      </c>
      <c r="C809" s="3">
        <f t="shared" si="23"/>
        <v>804</v>
      </c>
      <c r="E809" s="2" t="b">
        <f t="shared" ca="1" si="22"/>
        <v>1</v>
      </c>
      <c r="F809" s="2" cm="1">
        <f t="array" aca="1" ref="F809" ca="1">IF(G809&lt;&gt;"",INDIRECT("'"&amp;G809&amp;"'!"&amp;H809),"")</f>
        <v>0</v>
      </c>
      <c r="G809" s="1582" t="s">
        <v>6960</v>
      </c>
      <c r="H809" s="2" t="s">
        <v>4637</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8000</v>
      </c>
      <c r="C811" s="3">
        <f t="shared" si="23"/>
        <v>-7194</v>
      </c>
      <c r="E811" s="2" t="b">
        <f t="shared" ca="1" si="22"/>
        <v>1</v>
      </c>
      <c r="F811" s="2" cm="1">
        <f t="array" aca="1" ref="F811" ca="1">IF(G811&lt;&gt;"",INDIRECT("'"&amp;G811&amp;"'!"&amp;H811),"")</f>
        <v>8000</v>
      </c>
      <c r="G811" s="1582" t="s">
        <v>6960</v>
      </c>
      <c r="H811" s="2" t="s">
        <v>4638</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8000</v>
      </c>
      <c r="C813" s="3">
        <f t="shared" si="23"/>
        <v>-7192</v>
      </c>
      <c r="E813" s="2" t="b">
        <f t="shared" ca="1" si="22"/>
        <v>1</v>
      </c>
      <c r="F813" s="2" cm="1">
        <f t="array" aca="1" ref="F813" ca="1">IF(G813&lt;&gt;"",INDIRECT("'"&amp;G813&amp;"'!"&amp;H813),"")</f>
        <v>8000</v>
      </c>
      <c r="G813" s="1582" t="s">
        <v>6960</v>
      </c>
      <c r="H813" s="2" t="s">
        <v>4639</v>
      </c>
    </row>
    <row r="814" spans="1:11" x14ac:dyDescent="0.2">
      <c r="A814">
        <v>809</v>
      </c>
      <c r="B814" s="7">
        <f>'EstExp 12-20'!E75</f>
        <v>0</v>
      </c>
      <c r="C814" s="3">
        <f t="shared" si="23"/>
        <v>809</v>
      </c>
      <c r="E814" s="2" t="b">
        <f t="shared" ca="1" si="22"/>
        <v>1</v>
      </c>
      <c r="F814" s="2" cm="1">
        <f t="array" aca="1" ref="F814" ca="1">IF(G814&lt;&gt;"",INDIRECT("'"&amp;G814&amp;"'!"&amp;H814),"")</f>
        <v>0</v>
      </c>
      <c r="G814" s="1582" t="s">
        <v>6960</v>
      </c>
      <c r="H814" s="2" t="s">
        <v>4640</v>
      </c>
    </row>
    <row r="815" spans="1:11" x14ac:dyDescent="0.2">
      <c r="A815">
        <v>810</v>
      </c>
      <c r="B815" s="7">
        <f>'EstExp 12-20'!E76</f>
        <v>180700</v>
      </c>
      <c r="C815" s="3">
        <f t="shared" si="23"/>
        <v>-179890</v>
      </c>
      <c r="E815" s="2" t="b">
        <f t="shared" ca="1" si="22"/>
        <v>1</v>
      </c>
      <c r="F815" s="2" cm="1">
        <f t="array" aca="1" ref="F815" ca="1">IF(G815&lt;&gt;"",INDIRECT("'"&amp;G815&amp;"'!"&amp;H815),"")</f>
        <v>180700</v>
      </c>
      <c r="G815" s="1582" t="s">
        <v>6960</v>
      </c>
      <c r="H815" s="2" t="s">
        <v>4641</v>
      </c>
    </row>
    <row r="816" spans="1:11" x14ac:dyDescent="0.2">
      <c r="A816">
        <v>811</v>
      </c>
      <c r="B816" s="7">
        <f>'EstExp 12-20'!E77</f>
        <v>0</v>
      </c>
      <c r="C816" s="3">
        <f t="shared" si="23"/>
        <v>811</v>
      </c>
      <c r="E816" s="2" t="b">
        <f t="shared" ca="1" si="22"/>
        <v>1</v>
      </c>
      <c r="F816" s="2" cm="1">
        <f t="array" aca="1" ref="F816" ca="1">IF(G816&lt;&gt;"",INDIRECT("'"&amp;G816&amp;"'!"&amp;H816),"")</f>
        <v>0</v>
      </c>
      <c r="G816" s="1582" t="s">
        <v>6960</v>
      </c>
      <c r="H816" s="2" t="s">
        <v>4642</v>
      </c>
    </row>
    <row r="817" spans="1:11" x14ac:dyDescent="0.2">
      <c r="A817">
        <v>812</v>
      </c>
      <c r="B817" s="7">
        <f>'EstExp 12-20'!E116</f>
        <v>417300</v>
      </c>
      <c r="C817" s="3">
        <f t="shared" si="23"/>
        <v>-416488</v>
      </c>
      <c r="E817" s="2" t="b">
        <f t="shared" ca="1" si="22"/>
        <v>1</v>
      </c>
      <c r="F817" s="2" cm="1">
        <f t="array" aca="1" ref="F817" ca="1">IF(G817&lt;&gt;"",INDIRECT("'"&amp;G817&amp;"'!"&amp;H817),"")</f>
        <v>417300</v>
      </c>
      <c r="G817" s="1582" t="s">
        <v>6960</v>
      </c>
      <c r="H817" s="2" t="s">
        <v>4643</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52900</v>
      </c>
      <c r="C823" s="3">
        <f t="shared" si="23"/>
        <v>-52082</v>
      </c>
      <c r="E823" s="2" t="b">
        <f t="shared" ca="1" si="22"/>
        <v>1</v>
      </c>
      <c r="F823" s="2" cm="1">
        <f t="array" aca="1" ref="F823" ca="1">IF(G823&lt;&gt;"",INDIRECT("'"&amp;G823&amp;"'!"&amp;H823),"")</f>
        <v>52900</v>
      </c>
      <c r="G823" s="1582" t="s">
        <v>6960</v>
      </c>
      <c r="H823" s="2" t="s">
        <v>4644</v>
      </c>
    </row>
    <row r="824" spans="1:11" x14ac:dyDescent="0.2">
      <c r="A824">
        <v>819</v>
      </c>
      <c r="B824" s="7">
        <f>'EstExp 12-20'!F16</f>
        <v>0</v>
      </c>
      <c r="C824" s="3">
        <f t="shared" si="23"/>
        <v>819</v>
      </c>
      <c r="E824" s="2" t="b">
        <f t="shared" ca="1" si="22"/>
        <v>1</v>
      </c>
      <c r="F824" s="2" cm="1">
        <f t="array" aca="1" ref="F824" ca="1">IF(G824&lt;&gt;"",INDIRECT("'"&amp;G824&amp;"'!"&amp;H824),"")</f>
        <v>0</v>
      </c>
      <c r="G824" s="1582" t="s">
        <v>6960</v>
      </c>
      <c r="H824" s="2" t="s">
        <v>4460</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6960</v>
      </c>
      <c r="H830" s="2" t="s">
        <v>4414</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6960</v>
      </c>
      <c r="H834" s="2" t="s">
        <v>4457</v>
      </c>
    </row>
    <row r="835" spans="1:11" x14ac:dyDescent="0.2">
      <c r="A835">
        <v>830</v>
      </c>
      <c r="B835" s="7">
        <f>'EstExp 12-20'!F13</f>
        <v>35000</v>
      </c>
      <c r="C835" s="3">
        <f t="shared" si="23"/>
        <v>-34170</v>
      </c>
      <c r="E835" s="2" t="b">
        <f t="shared" ca="1" si="24"/>
        <v>1</v>
      </c>
      <c r="F835" s="2" cm="1">
        <f t="array" aca="1" ref="F835" ca="1">IF(G835&lt;&gt;"",INDIRECT("'"&amp;G835&amp;"'!"&amp;H835),"")</f>
        <v>35000</v>
      </c>
      <c r="G835" s="1582" t="s">
        <v>6960</v>
      </c>
      <c r="H835" s="2" t="s">
        <v>4458</v>
      </c>
    </row>
    <row r="836" spans="1:11" x14ac:dyDescent="0.2">
      <c r="A836">
        <v>831</v>
      </c>
      <c r="B836" s="7">
        <f>'EstExp 12-20'!F14</f>
        <v>28400</v>
      </c>
      <c r="C836" s="3">
        <f t="shared" si="23"/>
        <v>-27569</v>
      </c>
      <c r="E836" s="2" t="b">
        <f t="shared" ca="1" si="24"/>
        <v>1</v>
      </c>
      <c r="F836" s="2" cm="1">
        <f t="array" aca="1" ref="F836" ca="1">IF(G836&lt;&gt;"",INDIRECT("'"&amp;G836&amp;"'!"&amp;H836),"")</f>
        <v>28400</v>
      </c>
      <c r="G836" s="1582" t="s">
        <v>6960</v>
      </c>
      <c r="H836" s="2" t="s">
        <v>4645</v>
      </c>
    </row>
    <row r="837" spans="1:11" x14ac:dyDescent="0.2">
      <c r="A837">
        <v>832</v>
      </c>
      <c r="B837" s="7">
        <f>'EstExp 12-20'!F15</f>
        <v>0</v>
      </c>
      <c r="C837" s="3">
        <f t="shared" si="23"/>
        <v>832</v>
      </c>
      <c r="E837" s="2" t="b">
        <f t="shared" ca="1" si="24"/>
        <v>1</v>
      </c>
      <c r="F837" s="2" cm="1">
        <f t="array" aca="1" ref="F837" ca="1">IF(G837&lt;&gt;"",INDIRECT("'"&amp;G837&amp;"'!"&amp;H837),"")</f>
        <v>0</v>
      </c>
      <c r="G837" s="1582" t="s">
        <v>6960</v>
      </c>
      <c r="H837" s="2" t="s">
        <v>4459</v>
      </c>
    </row>
    <row r="838" spans="1:11" x14ac:dyDescent="0.2">
      <c r="A838">
        <v>833</v>
      </c>
      <c r="B838" s="7">
        <f>'EstExp 12-20'!F34</f>
        <v>133700</v>
      </c>
      <c r="C838" s="3">
        <f t="shared" si="23"/>
        <v>-132867</v>
      </c>
      <c r="E838" s="2" t="b">
        <f t="shared" ca="1" si="24"/>
        <v>1</v>
      </c>
      <c r="F838" s="2" cm="1">
        <f t="array" aca="1" ref="F838" ca="1">IF(G838&lt;&gt;"",INDIRECT("'"&amp;G838&amp;"'!"&amp;H838),"")</f>
        <v>133700</v>
      </c>
      <c r="G838" s="1582" t="s">
        <v>6960</v>
      </c>
      <c r="H838" s="2" t="s">
        <v>4646</v>
      </c>
    </row>
    <row r="839" spans="1:11" x14ac:dyDescent="0.2">
      <c r="A839">
        <v>834</v>
      </c>
      <c r="B839" s="7">
        <f>'EstExp 12-20'!F38</f>
        <v>1000</v>
      </c>
      <c r="C839" s="3">
        <f t="shared" si="23"/>
        <v>-166</v>
      </c>
      <c r="E839" s="2" t="b">
        <f t="shared" ca="1" si="24"/>
        <v>1</v>
      </c>
      <c r="F839" s="2" cm="1">
        <f t="array" aca="1" ref="F839" ca="1">IF(G839&lt;&gt;"",INDIRECT("'"&amp;G839&amp;"'!"&amp;H839),"")</f>
        <v>1000</v>
      </c>
      <c r="G839" s="1582" t="s">
        <v>6960</v>
      </c>
      <c r="H839" s="2" t="s">
        <v>4647</v>
      </c>
    </row>
    <row r="840" spans="1:11" x14ac:dyDescent="0.2">
      <c r="A840">
        <v>835</v>
      </c>
      <c r="B840" s="7">
        <f>'EstExp 12-20'!F39</f>
        <v>500</v>
      </c>
      <c r="C840" s="3">
        <f t="shared" ref="C840:C903" si="25">A840-B840</f>
        <v>335</v>
      </c>
      <c r="E840" s="2" t="b">
        <f t="shared" ca="1" si="24"/>
        <v>1</v>
      </c>
      <c r="F840" s="2" cm="1">
        <f t="array" aca="1" ref="F840" ca="1">IF(G840&lt;&gt;"",INDIRECT("'"&amp;G840&amp;"'!"&amp;H840),"")</f>
        <v>500</v>
      </c>
      <c r="G840" s="1582" t="s">
        <v>6960</v>
      </c>
      <c r="H840" s="2" t="s">
        <v>4648</v>
      </c>
    </row>
    <row r="841" spans="1:11" x14ac:dyDescent="0.2">
      <c r="A841">
        <v>836</v>
      </c>
      <c r="B841" s="7">
        <f>'EstExp 12-20'!F40</f>
        <v>0</v>
      </c>
      <c r="C841" s="3">
        <f t="shared" si="25"/>
        <v>836</v>
      </c>
      <c r="E841" s="2" t="b">
        <f t="shared" ca="1" si="24"/>
        <v>1</v>
      </c>
      <c r="F841" s="2" cm="1">
        <f t="array" aca="1" ref="F841" ca="1">IF(G841&lt;&gt;"",INDIRECT("'"&amp;G841&amp;"'!"&amp;H841),"")</f>
        <v>0</v>
      </c>
      <c r="G841" s="1582" t="s">
        <v>6960</v>
      </c>
      <c r="H841" s="2" t="s">
        <v>4649</v>
      </c>
    </row>
    <row r="842" spans="1:11" x14ac:dyDescent="0.2">
      <c r="A842">
        <v>837</v>
      </c>
      <c r="B842" s="7">
        <f>'EstExp 12-20'!F41</f>
        <v>100</v>
      </c>
      <c r="C842" s="3">
        <f t="shared" si="25"/>
        <v>737</v>
      </c>
      <c r="E842" s="2" t="b">
        <f t="shared" ca="1" si="24"/>
        <v>1</v>
      </c>
      <c r="F842" s="2" cm="1">
        <f t="array" aca="1" ref="F842" ca="1">IF(G842&lt;&gt;"",INDIRECT("'"&amp;G842&amp;"'!"&amp;H842),"")</f>
        <v>100</v>
      </c>
      <c r="G842" s="1582" t="s">
        <v>6960</v>
      </c>
      <c r="H842" s="2" t="s">
        <v>4650</v>
      </c>
    </row>
    <row r="843" spans="1:11" x14ac:dyDescent="0.2">
      <c r="A843">
        <v>838</v>
      </c>
      <c r="B843" s="7">
        <f>'EstExp 12-20'!F42</f>
        <v>1000</v>
      </c>
      <c r="C843" s="3">
        <f t="shared" si="25"/>
        <v>-162</v>
      </c>
      <c r="E843" s="2" t="b">
        <f t="shared" ca="1" si="24"/>
        <v>1</v>
      </c>
      <c r="F843" s="2" cm="1">
        <f t="array" aca="1" ref="F843" ca="1">IF(G843&lt;&gt;"",INDIRECT("'"&amp;G843&amp;"'!"&amp;H843),"")</f>
        <v>1000</v>
      </c>
      <c r="G843" s="1582" t="s">
        <v>6960</v>
      </c>
      <c r="H843" s="2" t="s">
        <v>4651</v>
      </c>
    </row>
    <row r="844" spans="1:11" x14ac:dyDescent="0.2">
      <c r="A844">
        <v>839</v>
      </c>
      <c r="B844" s="7">
        <f>'EstExp 12-20'!F43</f>
        <v>0</v>
      </c>
      <c r="C844" s="3">
        <f t="shared" si="25"/>
        <v>839</v>
      </c>
      <c r="E844" s="2" t="b">
        <f t="shared" ca="1" si="24"/>
        <v>1</v>
      </c>
      <c r="F844" s="2" cm="1">
        <f t="array" aca="1" ref="F844" ca="1">IF(G844&lt;&gt;"",INDIRECT("'"&amp;G844&amp;"'!"&amp;H844),"")</f>
        <v>0</v>
      </c>
      <c r="G844" s="1582" t="s">
        <v>6960</v>
      </c>
      <c r="H844" s="2" t="s">
        <v>4652</v>
      </c>
    </row>
    <row r="845" spans="1:11" x14ac:dyDescent="0.2">
      <c r="A845">
        <v>840</v>
      </c>
      <c r="B845" s="7">
        <f>'EstExp 12-20'!F44</f>
        <v>2600</v>
      </c>
      <c r="C845" s="3">
        <f t="shared" si="25"/>
        <v>-1760</v>
      </c>
      <c r="E845" s="2" t="b">
        <f t="shared" ca="1" si="24"/>
        <v>1</v>
      </c>
      <c r="F845" s="2" cm="1">
        <f t="array" aca="1" ref="F845" ca="1">IF(G845&lt;&gt;"",INDIRECT("'"&amp;G845&amp;"'!"&amp;H845),"")</f>
        <v>2600</v>
      </c>
      <c r="G845" s="1582" t="s">
        <v>6960</v>
      </c>
      <c r="H845" s="2" t="s">
        <v>4653</v>
      </c>
    </row>
    <row r="846" spans="1:11" x14ac:dyDescent="0.2">
      <c r="A846">
        <v>841</v>
      </c>
      <c r="B846" s="7">
        <f>'EstExp 12-20'!F46</f>
        <v>0</v>
      </c>
      <c r="C846" s="3">
        <f t="shared" si="25"/>
        <v>841</v>
      </c>
      <c r="E846" s="2" t="b">
        <f t="shared" ca="1" si="24"/>
        <v>1</v>
      </c>
      <c r="F846" s="2" cm="1">
        <f t="array" aca="1" ref="F846" ca="1">IF(G846&lt;&gt;"",INDIRECT("'"&amp;G846&amp;"'!"&amp;H846),"")</f>
        <v>0</v>
      </c>
      <c r="G846" s="1582" t="s">
        <v>6960</v>
      </c>
      <c r="H846" s="2" t="s">
        <v>4654</v>
      </c>
    </row>
    <row r="847" spans="1:11" x14ac:dyDescent="0.2">
      <c r="A847">
        <v>842</v>
      </c>
      <c r="B847" s="7">
        <f>'EstExp 12-20'!F47</f>
        <v>600</v>
      </c>
      <c r="C847" s="3">
        <f t="shared" si="25"/>
        <v>242</v>
      </c>
      <c r="E847" s="2" t="b">
        <f t="shared" ca="1" si="24"/>
        <v>1</v>
      </c>
      <c r="F847" s="2" cm="1">
        <f t="array" aca="1" ref="F847" ca="1">IF(G847&lt;&gt;"",INDIRECT("'"&amp;G847&amp;"'!"&amp;H847),"")</f>
        <v>600</v>
      </c>
      <c r="G847" s="1582" t="s">
        <v>6960</v>
      </c>
      <c r="H847" s="2" t="s">
        <v>4655</v>
      </c>
    </row>
    <row r="848" spans="1:11" x14ac:dyDescent="0.2">
      <c r="A848">
        <v>843</v>
      </c>
      <c r="B848" s="7">
        <f>'EstExp 12-20'!F48</f>
        <v>1500</v>
      </c>
      <c r="C848" s="3">
        <f t="shared" si="25"/>
        <v>-657</v>
      </c>
      <c r="E848" s="2" t="b">
        <f t="shared" ca="1" si="24"/>
        <v>1</v>
      </c>
      <c r="F848" s="2" cm="1">
        <f t="array" aca="1" ref="F848" ca="1">IF(G848&lt;&gt;"",INDIRECT("'"&amp;G848&amp;"'!"&amp;H848),"")</f>
        <v>1500</v>
      </c>
      <c r="G848" s="1582" t="s">
        <v>6960</v>
      </c>
      <c r="H848" s="2" t="s">
        <v>4656</v>
      </c>
    </row>
    <row r="849" spans="1:11" x14ac:dyDescent="0.2">
      <c r="A849">
        <v>844</v>
      </c>
      <c r="B849" s="7">
        <f>'EstExp 12-20'!F49</f>
        <v>2100</v>
      </c>
      <c r="C849" s="3">
        <f t="shared" si="25"/>
        <v>-1256</v>
      </c>
      <c r="E849" s="2" t="b">
        <f t="shared" ca="1" si="24"/>
        <v>1</v>
      </c>
      <c r="F849" s="2" cm="1">
        <f t="array" aca="1" ref="F849" ca="1">IF(G849&lt;&gt;"",INDIRECT("'"&amp;G849&amp;"'!"&amp;H849),"")</f>
        <v>2100</v>
      </c>
      <c r="G849" s="1582" t="s">
        <v>6960</v>
      </c>
      <c r="H849" s="2" t="s">
        <v>4657</v>
      </c>
    </row>
    <row r="850" spans="1:11" x14ac:dyDescent="0.2">
      <c r="A850">
        <v>845</v>
      </c>
      <c r="B850" s="7">
        <f>'EstExp 12-20'!F51</f>
        <v>1500</v>
      </c>
      <c r="C850" s="3">
        <f t="shared" si="25"/>
        <v>-655</v>
      </c>
      <c r="E850" s="2" t="b">
        <f t="shared" ca="1" si="24"/>
        <v>1</v>
      </c>
      <c r="F850" s="2" cm="1">
        <f t="array" aca="1" ref="F850" ca="1">IF(G850&lt;&gt;"",INDIRECT("'"&amp;G850&amp;"'!"&amp;H850),"")</f>
        <v>1500</v>
      </c>
      <c r="G850" s="1582" t="s">
        <v>6960</v>
      </c>
      <c r="H850" s="2" t="s">
        <v>4658</v>
      </c>
    </row>
    <row r="851" spans="1:11" x14ac:dyDescent="0.2">
      <c r="A851">
        <v>846</v>
      </c>
      <c r="B851" s="7">
        <f>'EstExp 12-20'!F52</f>
        <v>1000</v>
      </c>
      <c r="C851" s="3">
        <f t="shared" si="25"/>
        <v>-154</v>
      </c>
      <c r="E851" s="2" t="b">
        <f t="shared" ca="1" si="24"/>
        <v>1</v>
      </c>
      <c r="F851" s="2" cm="1">
        <f t="array" aca="1" ref="F851" ca="1">IF(G851&lt;&gt;"",INDIRECT("'"&amp;G851&amp;"'!"&amp;H851),"")</f>
        <v>1000</v>
      </c>
      <c r="G851" s="1582" t="s">
        <v>6960</v>
      </c>
      <c r="H851" s="2" t="s">
        <v>4659</v>
      </c>
    </row>
    <row r="852" spans="1:11" x14ac:dyDescent="0.2">
      <c r="A852">
        <v>847</v>
      </c>
      <c r="B852" s="7">
        <f>'EstExp 12-20'!F55</f>
        <v>2500</v>
      </c>
      <c r="C852" s="3">
        <f t="shared" si="25"/>
        <v>-1653</v>
      </c>
      <c r="E852" s="2" t="b">
        <f t="shared" ca="1" si="24"/>
        <v>1</v>
      </c>
      <c r="F852" s="2" cm="1">
        <f t="array" aca="1" ref="F852" ca="1">IF(G852&lt;&gt;"",INDIRECT("'"&amp;G852&amp;"'!"&amp;H852),"")</f>
        <v>2500</v>
      </c>
      <c r="G852" s="1582" t="s">
        <v>6960</v>
      </c>
      <c r="H852" s="2" t="s">
        <v>4660</v>
      </c>
    </row>
    <row r="853" spans="1:11" x14ac:dyDescent="0.2">
      <c r="A853">
        <v>848</v>
      </c>
      <c r="B853" s="7">
        <f>'EstExp 12-20'!F57</f>
        <v>7400</v>
      </c>
      <c r="C853" s="3">
        <f t="shared" si="25"/>
        <v>-6552</v>
      </c>
      <c r="E853" s="2" t="b">
        <f t="shared" ca="1" si="24"/>
        <v>1</v>
      </c>
      <c r="F853" s="2" cm="1">
        <f t="array" aca="1" ref="F853" ca="1">IF(G853&lt;&gt;"",INDIRECT("'"&amp;G853&amp;"'!"&amp;H853),"")</f>
        <v>7400</v>
      </c>
      <c r="G853" s="1582" t="s">
        <v>6960</v>
      </c>
      <c r="H853" s="2" t="s">
        <v>4661</v>
      </c>
    </row>
    <row r="854" spans="1:11" x14ac:dyDescent="0.2">
      <c r="A854">
        <v>849</v>
      </c>
      <c r="B854" s="7">
        <f>'EstExp 12-20'!F58</f>
        <v>0</v>
      </c>
      <c r="C854" s="3">
        <f t="shared" si="25"/>
        <v>849</v>
      </c>
      <c r="E854" s="2" t="b">
        <f t="shared" ca="1" si="24"/>
        <v>1</v>
      </c>
      <c r="F854" s="2" cm="1">
        <f t="array" aca="1" ref="F854" ca="1">IF(G854&lt;&gt;"",INDIRECT("'"&amp;G854&amp;"'!"&amp;H854),"")</f>
        <v>0</v>
      </c>
      <c r="G854" s="1582" t="s">
        <v>6960</v>
      </c>
      <c r="H854" s="2" t="s">
        <v>4662</v>
      </c>
    </row>
    <row r="855" spans="1:11" x14ac:dyDescent="0.2">
      <c r="A855">
        <v>850</v>
      </c>
      <c r="B855" s="7">
        <f>'EstExp 12-20'!F59</f>
        <v>7400</v>
      </c>
      <c r="C855" s="3">
        <f t="shared" si="25"/>
        <v>-6550</v>
      </c>
      <c r="E855" s="2" t="b">
        <f t="shared" ca="1" si="24"/>
        <v>1</v>
      </c>
      <c r="F855" s="2" cm="1">
        <f t="array" aca="1" ref="F855" ca="1">IF(G855&lt;&gt;"",INDIRECT("'"&amp;G855&amp;"'!"&amp;H855),"")</f>
        <v>7400</v>
      </c>
      <c r="G855" s="1582" t="s">
        <v>6960</v>
      </c>
      <c r="H855" s="2" t="s">
        <v>4663</v>
      </c>
    </row>
    <row r="856" spans="1:11" x14ac:dyDescent="0.2">
      <c r="A856">
        <v>851</v>
      </c>
      <c r="B856" s="7">
        <f>'EstExp 12-20'!F61</f>
        <v>0</v>
      </c>
      <c r="C856" s="3">
        <f t="shared" si="25"/>
        <v>851</v>
      </c>
      <c r="E856" s="2" t="b">
        <f t="shared" ca="1" si="24"/>
        <v>1</v>
      </c>
      <c r="F856" s="2" cm="1">
        <f t="array" aca="1" ref="F856" ca="1">IF(G856&lt;&gt;"",INDIRECT("'"&amp;G856&amp;"'!"&amp;H856),"")</f>
        <v>0</v>
      </c>
      <c r="G856" s="1582" t="s">
        <v>6960</v>
      </c>
      <c r="H856" s="2" t="s">
        <v>4664</v>
      </c>
    </row>
    <row r="857" spans="1:11" x14ac:dyDescent="0.2">
      <c r="A857">
        <v>852</v>
      </c>
      <c r="B857" s="7">
        <f>'EstExp 12-20'!F62</f>
        <v>2000</v>
      </c>
      <c r="C857" s="3">
        <f t="shared" si="25"/>
        <v>-1148</v>
      </c>
      <c r="E857" s="2" t="b">
        <f t="shared" ca="1" si="24"/>
        <v>1</v>
      </c>
      <c r="F857" s="2" cm="1">
        <f t="array" aca="1" ref="F857" ca="1">IF(G857&lt;&gt;"",INDIRECT("'"&amp;G857&amp;"'!"&amp;H857),"")</f>
        <v>2000</v>
      </c>
      <c r="G857" s="1582" t="s">
        <v>6960</v>
      </c>
      <c r="H857" s="2" t="s">
        <v>4665</v>
      </c>
    </row>
    <row r="858" spans="1:11" x14ac:dyDescent="0.2">
      <c r="A858">
        <v>853</v>
      </c>
      <c r="B858" s="7">
        <f>'EstExp 12-20'!F63</f>
        <v>0</v>
      </c>
      <c r="C858" s="3">
        <f t="shared" si="25"/>
        <v>853</v>
      </c>
      <c r="E858" s="2" t="b">
        <f t="shared" ca="1" si="24"/>
        <v>1</v>
      </c>
      <c r="F858" s="2" cm="1">
        <f t="array" aca="1" ref="F858" ca="1">IF(G858&lt;&gt;"",INDIRECT("'"&amp;G858&amp;"'!"&amp;H858),"")</f>
        <v>0</v>
      </c>
      <c r="G858" s="1582" t="s">
        <v>6960</v>
      </c>
      <c r="H858" s="2" t="s">
        <v>4666</v>
      </c>
    </row>
    <row r="859" spans="1:11" x14ac:dyDescent="0.2">
      <c r="A859">
        <v>854</v>
      </c>
      <c r="B859" s="7">
        <f>'EstExp 12-20'!F64</f>
        <v>0</v>
      </c>
      <c r="C859" s="3">
        <f t="shared" si="25"/>
        <v>854</v>
      </c>
      <c r="E859" s="2" t="b">
        <f t="shared" ca="1" si="24"/>
        <v>1</v>
      </c>
      <c r="F859" s="2" cm="1">
        <f t="array" aca="1" ref="F859" ca="1">IF(G859&lt;&gt;"",INDIRECT("'"&amp;G859&amp;"'!"&amp;H859),"")</f>
        <v>0</v>
      </c>
      <c r="G859" s="1582" t="s">
        <v>6960</v>
      </c>
      <c r="H859" s="2" t="s">
        <v>4667</v>
      </c>
    </row>
    <row r="860" spans="1:11" x14ac:dyDescent="0.2">
      <c r="A860">
        <v>855</v>
      </c>
      <c r="B860" s="7">
        <f>'EstExp 12-20'!F65</f>
        <v>69000</v>
      </c>
      <c r="C860" s="3">
        <f t="shared" si="25"/>
        <v>-68145</v>
      </c>
      <c r="E860" s="2" t="b">
        <f t="shared" ca="1" si="24"/>
        <v>1</v>
      </c>
      <c r="F860" s="2" cm="1">
        <f t="array" aca="1" ref="F860" ca="1">IF(G860&lt;&gt;"",INDIRECT("'"&amp;G860&amp;"'!"&amp;H860),"")</f>
        <v>69000</v>
      </c>
      <c r="G860" s="1582" t="s">
        <v>6960</v>
      </c>
      <c r="H860" s="2" t="s">
        <v>4668</v>
      </c>
    </row>
    <row r="861" spans="1:11" x14ac:dyDescent="0.2">
      <c r="A861">
        <v>856</v>
      </c>
      <c r="B861" s="7">
        <f>'EstExp 12-20'!F66</f>
        <v>0</v>
      </c>
      <c r="C861" s="3">
        <f t="shared" si="25"/>
        <v>856</v>
      </c>
      <c r="E861" s="2" t="b">
        <f t="shared" ca="1" si="24"/>
        <v>1</v>
      </c>
      <c r="F861" s="2" cm="1">
        <f t="array" aca="1" ref="F861" ca="1">IF(G861&lt;&gt;"",INDIRECT("'"&amp;G861&amp;"'!"&amp;H861),"")</f>
        <v>0</v>
      </c>
      <c r="G861" s="1582" t="s">
        <v>6960</v>
      </c>
      <c r="H861" s="2" t="s">
        <v>4669</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71000</v>
      </c>
      <c r="C863" s="3">
        <f t="shared" si="25"/>
        <v>-70142</v>
      </c>
      <c r="E863" s="2" t="b">
        <f t="shared" ca="1" si="24"/>
        <v>1</v>
      </c>
      <c r="F863" s="2" cm="1">
        <f t="array" aca="1" ref="F863" ca="1">IF(G863&lt;&gt;"",INDIRECT("'"&amp;G863&amp;"'!"&amp;H863),"")</f>
        <v>71000</v>
      </c>
      <c r="G863" s="1582" t="s">
        <v>6960</v>
      </c>
      <c r="H863" s="2" t="s">
        <v>4670</v>
      </c>
    </row>
    <row r="864" spans="1:11" x14ac:dyDescent="0.2">
      <c r="A864">
        <v>859</v>
      </c>
      <c r="B864" s="7">
        <f>'EstExp 12-20'!F69</f>
        <v>0</v>
      </c>
      <c r="C864" s="3">
        <f t="shared" si="25"/>
        <v>859</v>
      </c>
      <c r="E864" s="2" t="b">
        <f t="shared" ca="1" si="24"/>
        <v>1</v>
      </c>
      <c r="F864" s="2" cm="1">
        <f t="array" aca="1" ref="F864" ca="1">IF(G864&lt;&gt;"",INDIRECT("'"&amp;G864&amp;"'!"&amp;H864),"")</f>
        <v>0</v>
      </c>
      <c r="G864" s="1582" t="s">
        <v>6960</v>
      </c>
      <c r="H864" s="2" t="s">
        <v>4671</v>
      </c>
    </row>
    <row r="865" spans="1:11" x14ac:dyDescent="0.2">
      <c r="A865">
        <v>860</v>
      </c>
      <c r="B865" s="7">
        <f>'EstExp 12-20'!F70</f>
        <v>0</v>
      </c>
      <c r="C865" s="3">
        <f t="shared" si="25"/>
        <v>860</v>
      </c>
      <c r="E865" s="2" t="b">
        <f t="shared" ca="1" si="24"/>
        <v>1</v>
      </c>
      <c r="F865" s="2" cm="1">
        <f t="array" aca="1" ref="F865" ca="1">IF(G865&lt;&gt;"",INDIRECT("'"&amp;G865&amp;"'!"&amp;H865),"")</f>
        <v>0</v>
      </c>
      <c r="G865" s="1582" t="s">
        <v>6960</v>
      </c>
      <c r="H865" s="2" t="s">
        <v>4672</v>
      </c>
    </row>
    <row r="866" spans="1:11" x14ac:dyDescent="0.2">
      <c r="A866">
        <v>861</v>
      </c>
      <c r="B866" s="7">
        <f>'EstExp 12-20'!F71</f>
        <v>0</v>
      </c>
      <c r="C866" s="3">
        <f t="shared" si="25"/>
        <v>861</v>
      </c>
      <c r="E866" s="2" t="b">
        <f t="shared" ca="1" si="24"/>
        <v>1</v>
      </c>
      <c r="F866" s="2" cm="1">
        <f t="array" aca="1" ref="F866" ca="1">IF(G866&lt;&gt;"",INDIRECT("'"&amp;G866&amp;"'!"&amp;H866),"")</f>
        <v>0</v>
      </c>
      <c r="G866" s="1582" t="s">
        <v>6960</v>
      </c>
      <c r="H866" s="2" t="s">
        <v>4673</v>
      </c>
    </row>
    <row r="867" spans="1:11" x14ac:dyDescent="0.2">
      <c r="A867">
        <v>862</v>
      </c>
      <c r="B867" s="7">
        <f>'EstExp 12-20'!F72</f>
        <v>0</v>
      </c>
      <c r="C867" s="3">
        <f t="shared" si="25"/>
        <v>862</v>
      </c>
      <c r="E867" s="2" t="b">
        <f t="shared" ca="1" si="24"/>
        <v>1</v>
      </c>
      <c r="F867" s="2" cm="1">
        <f t="array" aca="1" ref="F867" ca="1">IF(G867&lt;&gt;"",INDIRECT("'"&amp;G867&amp;"'!"&amp;H867),"")</f>
        <v>0</v>
      </c>
      <c r="G867" s="1582" t="s">
        <v>6960</v>
      </c>
      <c r="H867" s="2" t="s">
        <v>4674</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6960</v>
      </c>
      <c r="H869" s="2" t="s">
        <v>4675</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6960</v>
      </c>
      <c r="H871" s="2" t="s">
        <v>4676</v>
      </c>
    </row>
    <row r="872" spans="1:11" x14ac:dyDescent="0.2">
      <c r="A872">
        <v>867</v>
      </c>
      <c r="B872" s="7">
        <f>'EstExp 12-20'!F75</f>
        <v>0</v>
      </c>
      <c r="C872" s="3">
        <f t="shared" si="25"/>
        <v>867</v>
      </c>
      <c r="E872" s="2" t="b">
        <f t="shared" ca="1" si="24"/>
        <v>1</v>
      </c>
      <c r="F872" s="2" cm="1">
        <f t="array" aca="1" ref="F872" ca="1">IF(G872&lt;&gt;"",INDIRECT("'"&amp;G872&amp;"'!"&amp;H872),"")</f>
        <v>0</v>
      </c>
      <c r="G872" s="1582" t="s">
        <v>6960</v>
      </c>
      <c r="H872" s="2" t="s">
        <v>4677</v>
      </c>
    </row>
    <row r="873" spans="1:11" x14ac:dyDescent="0.2">
      <c r="A873">
        <v>868</v>
      </c>
      <c r="B873" s="7">
        <f>'EstExp 12-20'!F76</f>
        <v>85600</v>
      </c>
      <c r="C873" s="3">
        <f t="shared" si="25"/>
        <v>-84732</v>
      </c>
      <c r="E873" s="2" t="b">
        <f t="shared" ca="1" si="24"/>
        <v>1</v>
      </c>
      <c r="F873" s="2" cm="1">
        <f t="array" aca="1" ref="F873" ca="1">IF(G873&lt;&gt;"",INDIRECT("'"&amp;G873&amp;"'!"&amp;H873),"")</f>
        <v>85600</v>
      </c>
      <c r="G873" s="1582" t="s">
        <v>6960</v>
      </c>
      <c r="H873" s="2" t="s">
        <v>4678</v>
      </c>
    </row>
    <row r="874" spans="1:11" x14ac:dyDescent="0.2">
      <c r="A874">
        <v>869</v>
      </c>
      <c r="B874" s="7">
        <f>'EstExp 12-20'!F77</f>
        <v>0</v>
      </c>
      <c r="C874" s="3">
        <f t="shared" si="25"/>
        <v>869</v>
      </c>
      <c r="E874" s="2" t="b">
        <f t="shared" ca="1" si="24"/>
        <v>1</v>
      </c>
      <c r="F874" s="2" cm="1">
        <f t="array" aca="1" ref="F874" ca="1">IF(G874&lt;&gt;"",INDIRECT("'"&amp;G874&amp;"'!"&amp;H874),"")</f>
        <v>0</v>
      </c>
      <c r="G874" s="1582" t="s">
        <v>6960</v>
      </c>
      <c r="H874" s="2" t="s">
        <v>4679</v>
      </c>
    </row>
    <row r="875" spans="1:11" x14ac:dyDescent="0.2">
      <c r="A875">
        <v>870</v>
      </c>
      <c r="B875" s="7">
        <f>'EstExp 12-20'!F116</f>
        <v>219300</v>
      </c>
      <c r="C875" s="3">
        <f t="shared" si="25"/>
        <v>-218430</v>
      </c>
      <c r="E875" s="2" t="b">
        <f t="shared" ca="1" si="24"/>
        <v>1</v>
      </c>
      <c r="F875" s="2" cm="1">
        <f t="array" aca="1" ref="F875" ca="1">IF(G875&lt;&gt;"",INDIRECT("'"&amp;G875&amp;"'!"&amp;H875),"")</f>
        <v>219300</v>
      </c>
      <c r="G875" s="1582" t="s">
        <v>6960</v>
      </c>
      <c r="H875" s="2" t="s">
        <v>4680</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11100</v>
      </c>
      <c r="C881" s="3">
        <f t="shared" si="25"/>
        <v>-10224</v>
      </c>
      <c r="E881" s="2" t="b">
        <f t="shared" ca="1" si="24"/>
        <v>1</v>
      </c>
      <c r="F881" s="2" cm="1">
        <f t="array" aca="1" ref="F881" ca="1">IF(G881&lt;&gt;"",INDIRECT("'"&amp;G881&amp;"'!"&amp;H881),"")</f>
        <v>11100</v>
      </c>
      <c r="G881" s="1582" t="s">
        <v>6960</v>
      </c>
      <c r="H881" s="2" t="s">
        <v>4681</v>
      </c>
    </row>
    <row r="882" spans="1:11" x14ac:dyDescent="0.2">
      <c r="A882">
        <v>877</v>
      </c>
      <c r="B882" s="7">
        <f>'EstExp 12-20'!G16</f>
        <v>0</v>
      </c>
      <c r="C882" s="3">
        <f t="shared" si="25"/>
        <v>877</v>
      </c>
      <c r="E882" s="2" t="b">
        <f t="shared" ca="1" si="24"/>
        <v>1</v>
      </c>
      <c r="F882" s="2" cm="1">
        <f t="array" aca="1" ref="F882" ca="1">IF(G882&lt;&gt;"",INDIRECT("'"&amp;G882&amp;"'!"&amp;H882),"")</f>
        <v>0</v>
      </c>
      <c r="G882" s="1582" t="s">
        <v>6960</v>
      </c>
      <c r="H882" s="2" t="s">
        <v>4470</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6960</v>
      </c>
      <c r="H888" s="2" t="s">
        <v>4415</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6960</v>
      </c>
      <c r="H892" s="2" t="s">
        <v>4468</v>
      </c>
    </row>
    <row r="893" spans="1:11" x14ac:dyDescent="0.2">
      <c r="A893">
        <v>888</v>
      </c>
      <c r="B893" s="7">
        <f>'EstExp 12-20'!G13</f>
        <v>20000</v>
      </c>
      <c r="C893" s="3">
        <f t="shared" si="25"/>
        <v>-19112</v>
      </c>
      <c r="E893" s="2" t="b">
        <f t="shared" ca="1" si="24"/>
        <v>1</v>
      </c>
      <c r="F893" s="2" cm="1">
        <f t="array" aca="1" ref="F893" ca="1">IF(G893&lt;&gt;"",INDIRECT("'"&amp;G893&amp;"'!"&amp;H893),"")</f>
        <v>20000</v>
      </c>
      <c r="G893" s="1582" t="s">
        <v>6960</v>
      </c>
      <c r="H893" s="2" t="s">
        <v>4469</v>
      </c>
    </row>
    <row r="894" spans="1:11" x14ac:dyDescent="0.2">
      <c r="A894">
        <v>889</v>
      </c>
      <c r="B894" s="7">
        <f>'EstExp 12-20'!G14</f>
        <v>7000</v>
      </c>
      <c r="C894" s="3">
        <f t="shared" si="25"/>
        <v>-6111</v>
      </c>
      <c r="E894" s="2" t="b">
        <f t="shared" ca="1" si="24"/>
        <v>1</v>
      </c>
      <c r="F894" s="2" cm="1">
        <f t="array" aca="1" ref="F894" ca="1">IF(G894&lt;&gt;"",INDIRECT("'"&amp;G894&amp;"'!"&amp;H894),"")</f>
        <v>7000</v>
      </c>
      <c r="G894" s="1582" t="s">
        <v>6960</v>
      </c>
      <c r="H894" s="2" t="s">
        <v>4682</v>
      </c>
    </row>
    <row r="895" spans="1:11" x14ac:dyDescent="0.2">
      <c r="A895">
        <v>890</v>
      </c>
      <c r="B895" s="7">
        <f>'EstExp 12-20'!G15</f>
        <v>0</v>
      </c>
      <c r="C895" s="3">
        <f t="shared" si="25"/>
        <v>890</v>
      </c>
      <c r="E895" s="2" t="b">
        <f t="shared" ca="1" si="24"/>
        <v>1</v>
      </c>
      <c r="F895" s="2" cm="1">
        <f t="array" aca="1" ref="F895" ca="1">IF(G895&lt;&gt;"",INDIRECT("'"&amp;G895&amp;"'!"&amp;H895),"")</f>
        <v>0</v>
      </c>
      <c r="G895" s="1582" t="s">
        <v>6960</v>
      </c>
      <c r="H895" s="2" t="s">
        <v>4683</v>
      </c>
    </row>
    <row r="896" spans="1:11" x14ac:dyDescent="0.2">
      <c r="A896">
        <v>891</v>
      </c>
      <c r="B896" s="7">
        <f>'EstExp 12-20'!G34</f>
        <v>41100</v>
      </c>
      <c r="C896" s="3">
        <f t="shared" si="25"/>
        <v>-40209</v>
      </c>
      <c r="E896" s="2" t="b">
        <f t="shared" ca="1" si="24"/>
        <v>1</v>
      </c>
      <c r="F896" s="2" cm="1">
        <f t="array" aca="1" ref="F896" ca="1">IF(G896&lt;&gt;"",INDIRECT("'"&amp;G896&amp;"'!"&amp;H896),"")</f>
        <v>41100</v>
      </c>
      <c r="G896" s="1582" t="s">
        <v>6960</v>
      </c>
      <c r="H896" s="2" t="s">
        <v>4684</v>
      </c>
    </row>
    <row r="897" spans="1:8" x14ac:dyDescent="0.2">
      <c r="A897">
        <v>892</v>
      </c>
      <c r="B897" s="7">
        <f>'EstExp 12-20'!G38</f>
        <v>0</v>
      </c>
      <c r="C897" s="3">
        <f t="shared" si="25"/>
        <v>892</v>
      </c>
      <c r="E897" s="2" t="b">
        <f t="shared" ca="1" si="24"/>
        <v>1</v>
      </c>
      <c r="F897" s="2" cm="1">
        <f t="array" aca="1" ref="F897" ca="1">IF(G897&lt;&gt;"",INDIRECT("'"&amp;G897&amp;"'!"&amp;H897),"")</f>
        <v>0</v>
      </c>
      <c r="G897" s="1582" t="s">
        <v>6960</v>
      </c>
      <c r="H897" s="2" t="s">
        <v>4685</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6960</v>
      </c>
      <c r="H898" s="2" t="s">
        <v>4686</v>
      </c>
    </row>
    <row r="899" spans="1:8" x14ac:dyDescent="0.2">
      <c r="A899">
        <v>894</v>
      </c>
      <c r="B899" s="7">
        <f>'EstExp 12-20'!G40</f>
        <v>0</v>
      </c>
      <c r="C899" s="3">
        <f t="shared" si="25"/>
        <v>894</v>
      </c>
      <c r="E899" s="2" t="b">
        <f t="shared" ca="1" si="26"/>
        <v>1</v>
      </c>
      <c r="F899" s="2" cm="1">
        <f t="array" aca="1" ref="F899" ca="1">IF(G899&lt;&gt;"",INDIRECT("'"&amp;G899&amp;"'!"&amp;H899),"")</f>
        <v>0</v>
      </c>
      <c r="G899" s="1582" t="s">
        <v>6960</v>
      </c>
      <c r="H899" s="2" t="s">
        <v>4687</v>
      </c>
    </row>
    <row r="900" spans="1:8" x14ac:dyDescent="0.2">
      <c r="A900">
        <v>895</v>
      </c>
      <c r="B900" s="7">
        <f>'EstExp 12-20'!G41</f>
        <v>0</v>
      </c>
      <c r="C900" s="3">
        <f t="shared" si="25"/>
        <v>895</v>
      </c>
      <c r="E900" s="2" t="b">
        <f t="shared" ca="1" si="26"/>
        <v>1</v>
      </c>
      <c r="F900" s="2" cm="1">
        <f t="array" aca="1" ref="F900" ca="1">IF(G900&lt;&gt;"",INDIRECT("'"&amp;G900&amp;"'!"&amp;H900),"")</f>
        <v>0</v>
      </c>
      <c r="G900" s="1582" t="s">
        <v>6960</v>
      </c>
      <c r="H900" s="2" t="s">
        <v>4688</v>
      </c>
    </row>
    <row r="901" spans="1:8" x14ac:dyDescent="0.2">
      <c r="A901">
        <v>896</v>
      </c>
      <c r="B901" s="7">
        <f>'EstExp 12-20'!G42</f>
        <v>0</v>
      </c>
      <c r="C901" s="3">
        <f t="shared" si="25"/>
        <v>896</v>
      </c>
      <c r="E901" s="2" t="b">
        <f t="shared" ca="1" si="26"/>
        <v>1</v>
      </c>
      <c r="F901" s="2" cm="1">
        <f t="array" aca="1" ref="F901" ca="1">IF(G901&lt;&gt;"",INDIRECT("'"&amp;G901&amp;"'!"&amp;H901),"")</f>
        <v>0</v>
      </c>
      <c r="G901" s="1582" t="s">
        <v>6960</v>
      </c>
      <c r="H901" s="2" t="s">
        <v>4689</v>
      </c>
    </row>
    <row r="902" spans="1:8" x14ac:dyDescent="0.2">
      <c r="A902">
        <v>897</v>
      </c>
      <c r="B902" s="7">
        <f>'EstExp 12-20'!G43</f>
        <v>0</v>
      </c>
      <c r="C902" s="3">
        <f t="shared" si="25"/>
        <v>897</v>
      </c>
      <c r="E902" s="2" t="b">
        <f t="shared" ca="1" si="26"/>
        <v>1</v>
      </c>
      <c r="F902" s="2" cm="1">
        <f t="array" aca="1" ref="F902" ca="1">IF(G902&lt;&gt;"",INDIRECT("'"&amp;G902&amp;"'!"&amp;H902),"")</f>
        <v>0</v>
      </c>
      <c r="G902" s="1582" t="s">
        <v>6960</v>
      </c>
      <c r="H902" s="2" t="s">
        <v>4690</v>
      </c>
    </row>
    <row r="903" spans="1:8" x14ac:dyDescent="0.2">
      <c r="A903">
        <v>898</v>
      </c>
      <c r="B903" s="7">
        <f>'EstExp 12-20'!G44</f>
        <v>0</v>
      </c>
      <c r="C903" s="3">
        <f t="shared" si="25"/>
        <v>898</v>
      </c>
      <c r="E903" s="2" t="b">
        <f t="shared" ca="1" si="26"/>
        <v>1</v>
      </c>
      <c r="F903" s="2" cm="1">
        <f t="array" aca="1" ref="F903" ca="1">IF(G903&lt;&gt;"",INDIRECT("'"&amp;G903&amp;"'!"&amp;H903),"")</f>
        <v>0</v>
      </c>
      <c r="G903" s="1582" t="s">
        <v>6960</v>
      </c>
      <c r="H903" s="2" t="s">
        <v>4691</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6960</v>
      </c>
      <c r="H904" s="2" t="s">
        <v>4692</v>
      </c>
    </row>
    <row r="905" spans="1:8" x14ac:dyDescent="0.2">
      <c r="A905">
        <v>900</v>
      </c>
      <c r="B905" s="7">
        <f>'EstExp 12-20'!G47</f>
        <v>0</v>
      </c>
      <c r="C905" s="3">
        <f t="shared" si="27"/>
        <v>900</v>
      </c>
      <c r="E905" s="2" t="b">
        <f t="shared" ca="1" si="26"/>
        <v>1</v>
      </c>
      <c r="F905" s="2" cm="1">
        <f t="array" aca="1" ref="F905" ca="1">IF(G905&lt;&gt;"",INDIRECT("'"&amp;G905&amp;"'!"&amp;H905),"")</f>
        <v>0</v>
      </c>
      <c r="G905" s="1582" t="s">
        <v>6960</v>
      </c>
      <c r="H905" s="2" t="s">
        <v>4693</v>
      </c>
    </row>
    <row r="906" spans="1:8" x14ac:dyDescent="0.2">
      <c r="A906">
        <v>901</v>
      </c>
      <c r="B906" s="7">
        <f>'EstExp 12-20'!G48</f>
        <v>0</v>
      </c>
      <c r="C906" s="3">
        <f t="shared" si="27"/>
        <v>901</v>
      </c>
      <c r="E906" s="2" t="b">
        <f t="shared" ca="1" si="26"/>
        <v>1</v>
      </c>
      <c r="F906" s="2" cm="1">
        <f t="array" aca="1" ref="F906" ca="1">IF(G906&lt;&gt;"",INDIRECT("'"&amp;G906&amp;"'!"&amp;H906),"")</f>
        <v>0</v>
      </c>
      <c r="G906" s="1582" t="s">
        <v>6960</v>
      </c>
      <c r="H906" s="2" t="s">
        <v>4694</v>
      </c>
    </row>
    <row r="907" spans="1:8" x14ac:dyDescent="0.2">
      <c r="A907">
        <v>902</v>
      </c>
      <c r="B907" s="7">
        <f>'EstExp 12-20'!G49</f>
        <v>0</v>
      </c>
      <c r="C907" s="3">
        <f t="shared" si="27"/>
        <v>902</v>
      </c>
      <c r="E907" s="2" t="b">
        <f t="shared" ca="1" si="26"/>
        <v>1</v>
      </c>
      <c r="F907" s="2" cm="1">
        <f t="array" aca="1" ref="F907" ca="1">IF(G907&lt;&gt;"",INDIRECT("'"&amp;G907&amp;"'!"&amp;H907),"")</f>
        <v>0</v>
      </c>
      <c r="G907" s="1582" t="s">
        <v>6960</v>
      </c>
      <c r="H907" s="2" t="s">
        <v>4695</v>
      </c>
    </row>
    <row r="908" spans="1:8" x14ac:dyDescent="0.2">
      <c r="A908">
        <v>903</v>
      </c>
      <c r="B908" s="7">
        <f>'EstExp 12-20'!G51</f>
        <v>0</v>
      </c>
      <c r="C908" s="3">
        <f t="shared" si="27"/>
        <v>903</v>
      </c>
      <c r="E908" s="2" t="b">
        <f t="shared" ca="1" si="26"/>
        <v>1</v>
      </c>
      <c r="F908" s="2" cm="1">
        <f t="array" aca="1" ref="F908" ca="1">IF(G908&lt;&gt;"",INDIRECT("'"&amp;G908&amp;"'!"&amp;H908),"")</f>
        <v>0</v>
      </c>
      <c r="G908" s="1582" t="s">
        <v>6960</v>
      </c>
      <c r="H908" s="2" t="s">
        <v>4696</v>
      </c>
    </row>
    <row r="909" spans="1:8" x14ac:dyDescent="0.2">
      <c r="A909">
        <v>904</v>
      </c>
      <c r="B909" s="7">
        <f>'EstExp 12-20'!G52</f>
        <v>0</v>
      </c>
      <c r="C909" s="3">
        <f t="shared" si="27"/>
        <v>904</v>
      </c>
      <c r="E909" s="2" t="b">
        <f t="shared" ca="1" si="26"/>
        <v>1</v>
      </c>
      <c r="F909" s="2" cm="1">
        <f t="array" aca="1" ref="F909" ca="1">IF(G909&lt;&gt;"",INDIRECT("'"&amp;G909&amp;"'!"&amp;H909),"")</f>
        <v>0</v>
      </c>
      <c r="G909" s="1582" t="s">
        <v>6960</v>
      </c>
      <c r="H909" s="2" t="s">
        <v>4697</v>
      </c>
    </row>
    <row r="910" spans="1:8" x14ac:dyDescent="0.2">
      <c r="A910">
        <v>905</v>
      </c>
      <c r="B910" s="7">
        <f>'EstExp 12-20'!G55</f>
        <v>0</v>
      </c>
      <c r="C910" s="3">
        <f t="shared" si="27"/>
        <v>905</v>
      </c>
      <c r="E910" s="2" t="b">
        <f t="shared" ca="1" si="26"/>
        <v>1</v>
      </c>
      <c r="F910" s="2" cm="1">
        <f t="array" aca="1" ref="F910" ca="1">IF(G910&lt;&gt;"",INDIRECT("'"&amp;G910&amp;"'!"&amp;H910),"")</f>
        <v>0</v>
      </c>
      <c r="G910" s="1582" t="s">
        <v>6960</v>
      </c>
      <c r="H910" s="2" t="s">
        <v>4698</v>
      </c>
    </row>
    <row r="911" spans="1:8" x14ac:dyDescent="0.2">
      <c r="A911">
        <v>906</v>
      </c>
      <c r="B911" s="7">
        <f>'EstExp 12-20'!G57</f>
        <v>100</v>
      </c>
      <c r="C911" s="3">
        <f t="shared" si="27"/>
        <v>806</v>
      </c>
      <c r="E911" s="2" t="b">
        <f t="shared" ca="1" si="26"/>
        <v>1</v>
      </c>
      <c r="F911" s="2" cm="1">
        <f t="array" aca="1" ref="F911" ca="1">IF(G911&lt;&gt;"",INDIRECT("'"&amp;G911&amp;"'!"&amp;H911),"")</f>
        <v>100</v>
      </c>
      <c r="G911" s="1582" t="s">
        <v>6960</v>
      </c>
      <c r="H911" s="2" t="s">
        <v>4699</v>
      </c>
    </row>
    <row r="912" spans="1:8" x14ac:dyDescent="0.2">
      <c r="A912">
        <v>907</v>
      </c>
      <c r="B912" s="7">
        <f>'EstExp 12-20'!G58</f>
        <v>0</v>
      </c>
      <c r="C912" s="3">
        <f t="shared" si="27"/>
        <v>907</v>
      </c>
      <c r="E912" s="2" t="b">
        <f t="shared" ca="1" si="26"/>
        <v>1</v>
      </c>
      <c r="F912" s="2" cm="1">
        <f t="array" aca="1" ref="F912" ca="1">IF(G912&lt;&gt;"",INDIRECT("'"&amp;G912&amp;"'!"&amp;H912),"")</f>
        <v>0</v>
      </c>
      <c r="G912" s="1582" t="s">
        <v>6960</v>
      </c>
      <c r="H912" s="2" t="s">
        <v>4700</v>
      </c>
    </row>
    <row r="913" spans="1:11" x14ac:dyDescent="0.2">
      <c r="A913">
        <v>908</v>
      </c>
      <c r="B913" s="7">
        <f>'EstExp 12-20'!G59</f>
        <v>100</v>
      </c>
      <c r="C913" s="3">
        <f t="shared" si="27"/>
        <v>808</v>
      </c>
      <c r="E913" s="2" t="b">
        <f t="shared" ca="1" si="26"/>
        <v>1</v>
      </c>
      <c r="F913" s="2" cm="1">
        <f t="array" aca="1" ref="F913" ca="1">IF(G913&lt;&gt;"",INDIRECT("'"&amp;G913&amp;"'!"&amp;H913),"")</f>
        <v>100</v>
      </c>
      <c r="G913" s="1582" t="s">
        <v>6960</v>
      </c>
      <c r="H913" s="2" t="s">
        <v>4701</v>
      </c>
    </row>
    <row r="914" spans="1:11" x14ac:dyDescent="0.2">
      <c r="A914">
        <v>909</v>
      </c>
      <c r="B914" s="7">
        <f>'EstExp 12-20'!G61</f>
        <v>0</v>
      </c>
      <c r="C914" s="3">
        <f t="shared" si="27"/>
        <v>909</v>
      </c>
      <c r="E914" s="2" t="b">
        <f t="shared" ca="1" si="26"/>
        <v>1</v>
      </c>
      <c r="F914" s="2" cm="1">
        <f t="array" aca="1" ref="F914" ca="1">IF(G914&lt;&gt;"",INDIRECT("'"&amp;G914&amp;"'!"&amp;H914),"")</f>
        <v>0</v>
      </c>
      <c r="G914" s="1582" t="s">
        <v>6960</v>
      </c>
      <c r="H914" s="2" t="s">
        <v>4702</v>
      </c>
    </row>
    <row r="915" spans="1:11" x14ac:dyDescent="0.2">
      <c r="A915">
        <v>910</v>
      </c>
      <c r="B915" s="7">
        <f>'EstExp 12-20'!G62</f>
        <v>100</v>
      </c>
      <c r="C915" s="3">
        <f t="shared" si="27"/>
        <v>810</v>
      </c>
      <c r="E915" s="2" t="b">
        <f t="shared" ca="1" si="26"/>
        <v>1</v>
      </c>
      <c r="F915" s="2" cm="1">
        <f t="array" aca="1" ref="F915" ca="1">IF(G915&lt;&gt;"",INDIRECT("'"&amp;G915&amp;"'!"&amp;H915),"")</f>
        <v>100</v>
      </c>
      <c r="G915" s="1582" t="s">
        <v>6960</v>
      </c>
      <c r="H915" s="2" t="s">
        <v>4703</v>
      </c>
    </row>
    <row r="916" spans="1:11" x14ac:dyDescent="0.2">
      <c r="A916">
        <v>911</v>
      </c>
      <c r="B916" s="7">
        <f>'EstExp 12-20'!G63</f>
        <v>0</v>
      </c>
      <c r="C916" s="3">
        <f t="shared" si="27"/>
        <v>911</v>
      </c>
      <c r="E916" s="2" t="b">
        <f t="shared" ca="1" si="26"/>
        <v>1</v>
      </c>
      <c r="F916" s="2" cm="1">
        <f t="array" aca="1" ref="F916" ca="1">IF(G916&lt;&gt;"",INDIRECT("'"&amp;G916&amp;"'!"&amp;H916),"")</f>
        <v>0</v>
      </c>
      <c r="G916" s="1582" t="s">
        <v>6960</v>
      </c>
      <c r="H916" s="2" t="s">
        <v>4704</v>
      </c>
    </row>
    <row r="917" spans="1:11" x14ac:dyDescent="0.2">
      <c r="A917">
        <v>912</v>
      </c>
      <c r="B917" s="7">
        <f>'EstExp 12-20'!G64</f>
        <v>0</v>
      </c>
      <c r="C917" s="3">
        <f t="shared" si="27"/>
        <v>912</v>
      </c>
      <c r="E917" s="2" t="b">
        <f t="shared" ca="1" si="26"/>
        <v>1</v>
      </c>
      <c r="F917" s="2" cm="1">
        <f t="array" aca="1" ref="F917" ca="1">IF(G917&lt;&gt;"",INDIRECT("'"&amp;G917&amp;"'!"&amp;H917),"")</f>
        <v>0</v>
      </c>
      <c r="G917" s="1582" t="s">
        <v>6960</v>
      </c>
      <c r="H917" s="2" t="s">
        <v>4705</v>
      </c>
    </row>
    <row r="918" spans="1:11" x14ac:dyDescent="0.2">
      <c r="A918">
        <v>913</v>
      </c>
      <c r="B918" s="7">
        <f>'EstExp 12-20'!G65</f>
        <v>15000</v>
      </c>
      <c r="C918" s="3">
        <f t="shared" si="27"/>
        <v>-14087</v>
      </c>
      <c r="E918" s="2" t="b">
        <f t="shared" ca="1" si="26"/>
        <v>1</v>
      </c>
      <c r="F918" s="2" cm="1">
        <f t="array" aca="1" ref="F918" ca="1">IF(G918&lt;&gt;"",INDIRECT("'"&amp;G918&amp;"'!"&amp;H918),"")</f>
        <v>15000</v>
      </c>
      <c r="G918" s="1582" t="s">
        <v>6960</v>
      </c>
      <c r="H918" s="2" t="s">
        <v>4706</v>
      </c>
    </row>
    <row r="919" spans="1:11" x14ac:dyDescent="0.2">
      <c r="A919">
        <v>914</v>
      </c>
      <c r="B919" s="7">
        <f>'EstExp 12-20'!G66</f>
        <v>0</v>
      </c>
      <c r="C919" s="3">
        <f t="shared" si="27"/>
        <v>914</v>
      </c>
      <c r="E919" s="2" t="b">
        <f t="shared" ca="1" si="26"/>
        <v>1</v>
      </c>
      <c r="F919" s="2" cm="1">
        <f t="array" aca="1" ref="F919" ca="1">IF(G919&lt;&gt;"",INDIRECT("'"&amp;G919&amp;"'!"&amp;H919),"")</f>
        <v>0</v>
      </c>
      <c r="G919" s="1582" t="s">
        <v>6960</v>
      </c>
      <c r="H919" s="2" t="s">
        <v>4707</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15100</v>
      </c>
      <c r="C921" s="3">
        <f t="shared" si="27"/>
        <v>-14184</v>
      </c>
      <c r="E921" s="2" t="b">
        <f t="shared" ca="1" si="26"/>
        <v>1</v>
      </c>
      <c r="F921" s="2" cm="1">
        <f t="array" aca="1" ref="F921" ca="1">IF(G921&lt;&gt;"",INDIRECT("'"&amp;G921&amp;"'!"&amp;H921),"")</f>
        <v>15100</v>
      </c>
      <c r="G921" s="1582" t="s">
        <v>6960</v>
      </c>
      <c r="H921" s="2" t="s">
        <v>4708</v>
      </c>
    </row>
    <row r="922" spans="1:11" x14ac:dyDescent="0.2">
      <c r="A922">
        <v>917</v>
      </c>
      <c r="B922" s="7">
        <f>'EstExp 12-20'!G69</f>
        <v>0</v>
      </c>
      <c r="C922" s="3">
        <f t="shared" si="27"/>
        <v>917</v>
      </c>
      <c r="E922" s="2" t="b">
        <f t="shared" ca="1" si="26"/>
        <v>1</v>
      </c>
      <c r="F922" s="2" cm="1">
        <f t="array" aca="1" ref="F922" ca="1">IF(G922&lt;&gt;"",INDIRECT("'"&amp;G922&amp;"'!"&amp;H922),"")</f>
        <v>0</v>
      </c>
      <c r="G922" s="1582" t="s">
        <v>6960</v>
      </c>
      <c r="H922" s="2" t="s">
        <v>4709</v>
      </c>
    </row>
    <row r="923" spans="1:11" x14ac:dyDescent="0.2">
      <c r="A923">
        <v>918</v>
      </c>
      <c r="B923" s="7">
        <f>'EstExp 12-20'!G70</f>
        <v>0</v>
      </c>
      <c r="C923" s="3">
        <f t="shared" si="27"/>
        <v>918</v>
      </c>
      <c r="E923" s="2" t="b">
        <f t="shared" ca="1" si="26"/>
        <v>1</v>
      </c>
      <c r="F923" s="2" cm="1">
        <f t="array" aca="1" ref="F923" ca="1">IF(G923&lt;&gt;"",INDIRECT("'"&amp;G923&amp;"'!"&amp;H923),"")</f>
        <v>0</v>
      </c>
      <c r="G923" s="1582" t="s">
        <v>6960</v>
      </c>
      <c r="H923" s="2" t="s">
        <v>4710</v>
      </c>
    </row>
    <row r="924" spans="1:11" x14ac:dyDescent="0.2">
      <c r="A924">
        <v>919</v>
      </c>
      <c r="B924" s="7">
        <f>'EstExp 12-20'!G71</f>
        <v>0</v>
      </c>
      <c r="C924" s="3">
        <f t="shared" si="27"/>
        <v>919</v>
      </c>
      <c r="E924" s="2" t="b">
        <f t="shared" ca="1" si="26"/>
        <v>1</v>
      </c>
      <c r="F924" s="2" cm="1">
        <f t="array" aca="1" ref="F924" ca="1">IF(G924&lt;&gt;"",INDIRECT("'"&amp;G924&amp;"'!"&amp;H924),"")</f>
        <v>0</v>
      </c>
      <c r="G924" s="1582" t="s">
        <v>6960</v>
      </c>
      <c r="H924" s="2" t="s">
        <v>4711</v>
      </c>
    </row>
    <row r="925" spans="1:11" x14ac:dyDescent="0.2">
      <c r="A925">
        <v>920</v>
      </c>
      <c r="B925" s="7">
        <f>'EstExp 12-20'!G72</f>
        <v>0</v>
      </c>
      <c r="C925" s="3">
        <f t="shared" si="27"/>
        <v>920</v>
      </c>
      <c r="E925" s="2" t="b">
        <f t="shared" ca="1" si="26"/>
        <v>1</v>
      </c>
      <c r="F925" s="2" cm="1">
        <f t="array" aca="1" ref="F925" ca="1">IF(G925&lt;&gt;"",INDIRECT("'"&amp;G925&amp;"'!"&amp;H925),"")</f>
        <v>0</v>
      </c>
      <c r="G925" s="1582" t="s">
        <v>6960</v>
      </c>
      <c r="H925" s="2" t="s">
        <v>4712</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6960</v>
      </c>
      <c r="H927" s="2" t="s">
        <v>4713</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6960</v>
      </c>
      <c r="H929" s="2" t="s">
        <v>4714</v>
      </c>
    </row>
    <row r="930" spans="1:11" x14ac:dyDescent="0.2">
      <c r="A930">
        <v>925</v>
      </c>
      <c r="B930" s="7">
        <f>'EstExp 12-20'!G75</f>
        <v>0</v>
      </c>
      <c r="C930" s="3">
        <f t="shared" si="27"/>
        <v>925</v>
      </c>
      <c r="E930" s="2" t="b">
        <f t="shared" ca="1" si="26"/>
        <v>1</v>
      </c>
      <c r="F930" s="2" cm="1">
        <f t="array" aca="1" ref="F930" ca="1">IF(G930&lt;&gt;"",INDIRECT("'"&amp;G930&amp;"'!"&amp;H930),"")</f>
        <v>0</v>
      </c>
      <c r="G930" s="1582" t="s">
        <v>6960</v>
      </c>
      <c r="H930" s="2" t="s">
        <v>4715</v>
      </c>
    </row>
    <row r="931" spans="1:11" x14ac:dyDescent="0.2">
      <c r="A931">
        <v>926</v>
      </c>
      <c r="B931" s="7">
        <f>'EstExp 12-20'!G76</f>
        <v>15200</v>
      </c>
      <c r="C931" s="3">
        <f t="shared" si="27"/>
        <v>-14274</v>
      </c>
      <c r="E931" s="2" t="b">
        <f t="shared" ca="1" si="26"/>
        <v>1</v>
      </c>
      <c r="F931" s="2" cm="1">
        <f t="array" aca="1" ref="F931" ca="1">IF(G931&lt;&gt;"",INDIRECT("'"&amp;G931&amp;"'!"&amp;H931),"")</f>
        <v>15200</v>
      </c>
      <c r="G931" s="1582" t="s">
        <v>6960</v>
      </c>
      <c r="H931" s="2" t="s">
        <v>4716</v>
      </c>
    </row>
    <row r="932" spans="1:11" x14ac:dyDescent="0.2">
      <c r="A932">
        <v>927</v>
      </c>
      <c r="B932" s="7">
        <f>'EstExp 12-20'!G77</f>
        <v>0</v>
      </c>
      <c r="C932" s="3">
        <f t="shared" si="27"/>
        <v>927</v>
      </c>
      <c r="E932" s="2" t="b">
        <f t="shared" ca="1" si="26"/>
        <v>1</v>
      </c>
      <c r="F932" s="2" cm="1">
        <f t="array" aca="1" ref="F932" ca="1">IF(G932&lt;&gt;"",INDIRECT("'"&amp;G932&amp;"'!"&amp;H932),"")</f>
        <v>0</v>
      </c>
      <c r="G932" s="1582" t="s">
        <v>6960</v>
      </c>
      <c r="H932" s="2" t="s">
        <v>4717</v>
      </c>
    </row>
    <row r="933" spans="1:11" x14ac:dyDescent="0.2">
      <c r="A933">
        <v>928</v>
      </c>
      <c r="B933" s="7">
        <f>'EstExp 12-20'!G116</f>
        <v>56300</v>
      </c>
      <c r="C933" s="3">
        <f t="shared" si="27"/>
        <v>-55372</v>
      </c>
      <c r="E933" s="2" t="b">
        <f t="shared" ca="1" si="26"/>
        <v>1</v>
      </c>
      <c r="F933" s="2" cm="1">
        <f t="array" aca="1" ref="F933" ca="1">IF(G933&lt;&gt;"",INDIRECT("'"&amp;G933&amp;"'!"&amp;H933),"")</f>
        <v>56300</v>
      </c>
      <c r="G933" s="1582" t="s">
        <v>6960</v>
      </c>
      <c r="H933" s="2" t="s">
        <v>4718</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300</v>
      </c>
      <c r="C939" s="3">
        <f t="shared" si="27"/>
        <v>634</v>
      </c>
      <c r="E939" s="2" t="b">
        <f t="shared" ca="1" si="26"/>
        <v>1</v>
      </c>
      <c r="F939" s="2" cm="1">
        <f t="array" aca="1" ref="F939" ca="1">IF(G939&lt;&gt;"",INDIRECT("'"&amp;G939&amp;"'!"&amp;H939),"")</f>
        <v>300</v>
      </c>
      <c r="G939" s="1582" t="s">
        <v>6960</v>
      </c>
      <c r="H939" s="2" t="s">
        <v>4719</v>
      </c>
    </row>
    <row r="940" spans="1:11" x14ac:dyDescent="0.2">
      <c r="A940">
        <v>935</v>
      </c>
      <c r="B940" s="7">
        <f>'EstExp 12-20'!H16</f>
        <v>0</v>
      </c>
      <c r="C940" s="3">
        <f t="shared" si="27"/>
        <v>935</v>
      </c>
      <c r="E940" s="2" t="b">
        <f t="shared" ca="1" si="26"/>
        <v>1</v>
      </c>
      <c r="F940" s="2" cm="1">
        <f t="array" aca="1" ref="F940" ca="1">IF(G940&lt;&gt;"",INDIRECT("'"&amp;G940&amp;"'!"&amp;H940),"")</f>
        <v>0</v>
      </c>
      <c r="G940" s="1582" t="s">
        <v>6960</v>
      </c>
      <c r="H940" s="2" t="s">
        <v>4479</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6960</v>
      </c>
      <c r="H946" s="2" t="s">
        <v>4416</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6960</v>
      </c>
      <c r="H950" s="2" t="s">
        <v>4478</v>
      </c>
    </row>
    <row r="951" spans="1:11" x14ac:dyDescent="0.2">
      <c r="A951">
        <v>946</v>
      </c>
      <c r="B951" s="7">
        <f>'EstExp 12-20'!H13</f>
        <v>0</v>
      </c>
      <c r="C951" s="3">
        <f t="shared" si="27"/>
        <v>946</v>
      </c>
      <c r="E951" s="2" t="b">
        <f t="shared" ca="1" si="26"/>
        <v>1</v>
      </c>
      <c r="F951" s="2" cm="1">
        <f t="array" aca="1" ref="F951" ca="1">IF(G951&lt;&gt;"",INDIRECT("'"&amp;G951&amp;"'!"&amp;H951),"")</f>
        <v>0</v>
      </c>
      <c r="G951" s="1582" t="s">
        <v>6960</v>
      </c>
      <c r="H951" s="2" t="s">
        <v>4408</v>
      </c>
    </row>
    <row r="952" spans="1:11" x14ac:dyDescent="0.2">
      <c r="A952">
        <v>947</v>
      </c>
      <c r="B952" s="7">
        <f>'EstExp 12-20'!H14</f>
        <v>11700</v>
      </c>
      <c r="C952" s="3">
        <f t="shared" si="27"/>
        <v>-10753</v>
      </c>
      <c r="E952" s="2" t="b">
        <f t="shared" ca="1" si="26"/>
        <v>1</v>
      </c>
      <c r="F952" s="2" cm="1">
        <f t="array" aca="1" ref="F952" ca="1">IF(G952&lt;&gt;"",INDIRECT("'"&amp;G952&amp;"'!"&amp;H952),"")</f>
        <v>11700</v>
      </c>
      <c r="G952" s="1582" t="s">
        <v>6960</v>
      </c>
      <c r="H952" s="2" t="s">
        <v>4409</v>
      </c>
    </row>
    <row r="953" spans="1:11" x14ac:dyDescent="0.2">
      <c r="A953">
        <v>948</v>
      </c>
      <c r="B953" s="7">
        <f>'EstExp 12-20'!H15</f>
        <v>0</v>
      </c>
      <c r="C953" s="3">
        <f t="shared" si="27"/>
        <v>948</v>
      </c>
      <c r="E953" s="2" t="b">
        <f t="shared" ca="1" si="26"/>
        <v>1</v>
      </c>
      <c r="F953" s="2" cm="1">
        <f t="array" aca="1" ref="F953" ca="1">IF(G953&lt;&gt;"",INDIRECT("'"&amp;G953&amp;"'!"&amp;H953),"")</f>
        <v>0</v>
      </c>
      <c r="G953" s="1582" t="s">
        <v>6960</v>
      </c>
      <c r="H953" s="2" t="s">
        <v>4720</v>
      </c>
    </row>
    <row r="954" spans="1:11" x14ac:dyDescent="0.2">
      <c r="A954">
        <v>949</v>
      </c>
      <c r="B954" s="7">
        <f>'EstExp 12-20'!H34</f>
        <v>13200</v>
      </c>
      <c r="C954" s="3">
        <f t="shared" si="27"/>
        <v>-12251</v>
      </c>
      <c r="E954" s="2" t="b">
        <f t="shared" ca="1" si="26"/>
        <v>1</v>
      </c>
      <c r="F954" s="2" cm="1">
        <f t="array" aca="1" ref="F954" ca="1">IF(G954&lt;&gt;"",INDIRECT("'"&amp;G954&amp;"'!"&amp;H954),"")</f>
        <v>13200</v>
      </c>
      <c r="G954" s="1582" t="s">
        <v>6960</v>
      </c>
      <c r="H954" s="2" t="s">
        <v>4721</v>
      </c>
    </row>
    <row r="955" spans="1:11" x14ac:dyDescent="0.2">
      <c r="A955">
        <v>950</v>
      </c>
      <c r="B955" s="7">
        <f>'EstExp 12-20'!H38</f>
        <v>100</v>
      </c>
      <c r="C955" s="3">
        <f t="shared" si="27"/>
        <v>850</v>
      </c>
      <c r="E955" s="2" t="b">
        <f t="shared" ca="1" si="26"/>
        <v>1</v>
      </c>
      <c r="F955" s="2" cm="1">
        <f t="array" aca="1" ref="F955" ca="1">IF(G955&lt;&gt;"",INDIRECT("'"&amp;G955&amp;"'!"&amp;H955),"")</f>
        <v>100</v>
      </c>
      <c r="G955" s="1582" t="s">
        <v>6960</v>
      </c>
      <c r="H955" s="2" t="s">
        <v>4722</v>
      </c>
    </row>
    <row r="956" spans="1:11" x14ac:dyDescent="0.2">
      <c r="A956">
        <v>951</v>
      </c>
      <c r="B956" s="7">
        <f>'EstExp 12-20'!H39</f>
        <v>0</v>
      </c>
      <c r="C956" s="3">
        <f t="shared" si="27"/>
        <v>951</v>
      </c>
      <c r="E956" s="2" t="b">
        <f t="shared" ca="1" si="26"/>
        <v>1</v>
      </c>
      <c r="F956" s="2" cm="1">
        <f t="array" aca="1" ref="F956" ca="1">IF(G956&lt;&gt;"",INDIRECT("'"&amp;G956&amp;"'!"&amp;H956),"")</f>
        <v>0</v>
      </c>
      <c r="G956" s="1582" t="s">
        <v>6960</v>
      </c>
      <c r="H956" s="2" t="s">
        <v>4723</v>
      </c>
    </row>
    <row r="957" spans="1:11" x14ac:dyDescent="0.2">
      <c r="A957">
        <v>952</v>
      </c>
      <c r="B957" s="7">
        <f>'EstExp 12-20'!H40</f>
        <v>0</v>
      </c>
      <c r="C957" s="3">
        <f t="shared" si="27"/>
        <v>952</v>
      </c>
      <c r="E957" s="2" t="b">
        <f t="shared" ca="1" si="26"/>
        <v>1</v>
      </c>
      <c r="F957" s="2" cm="1">
        <f t="array" aca="1" ref="F957" ca="1">IF(G957&lt;&gt;"",INDIRECT("'"&amp;G957&amp;"'!"&amp;H957),"")</f>
        <v>0</v>
      </c>
      <c r="G957" s="1582" t="s">
        <v>6960</v>
      </c>
      <c r="H957" s="2" t="s">
        <v>4724</v>
      </c>
    </row>
    <row r="958" spans="1:11" x14ac:dyDescent="0.2">
      <c r="A958">
        <v>953</v>
      </c>
      <c r="B958" s="7">
        <f>'EstExp 12-20'!H41</f>
        <v>0</v>
      </c>
      <c r="C958" s="3">
        <f t="shared" si="27"/>
        <v>953</v>
      </c>
      <c r="E958" s="2" t="b">
        <f t="shared" ca="1" si="26"/>
        <v>1</v>
      </c>
      <c r="F958" s="2" cm="1">
        <f t="array" aca="1" ref="F958" ca="1">IF(G958&lt;&gt;"",INDIRECT("'"&amp;G958&amp;"'!"&amp;H958),"")</f>
        <v>0</v>
      </c>
      <c r="G958" s="1582" t="s">
        <v>6960</v>
      </c>
      <c r="H958" s="2" t="s">
        <v>4725</v>
      </c>
    </row>
    <row r="959" spans="1:11" x14ac:dyDescent="0.2">
      <c r="A959">
        <v>954</v>
      </c>
      <c r="B959" s="7">
        <f>'EstExp 12-20'!H42</f>
        <v>0</v>
      </c>
      <c r="C959" s="3">
        <f t="shared" si="27"/>
        <v>954</v>
      </c>
      <c r="E959" s="2" t="b">
        <f t="shared" ca="1" si="26"/>
        <v>1</v>
      </c>
      <c r="F959" s="2" cm="1">
        <f t="array" aca="1" ref="F959" ca="1">IF(G959&lt;&gt;"",INDIRECT("'"&amp;G959&amp;"'!"&amp;H959),"")</f>
        <v>0</v>
      </c>
      <c r="G959" s="1582" t="s">
        <v>6960</v>
      </c>
      <c r="H959" s="2" t="s">
        <v>4726</v>
      </c>
    </row>
    <row r="960" spans="1:11" x14ac:dyDescent="0.2">
      <c r="A960">
        <v>955</v>
      </c>
      <c r="B960" s="7">
        <f>'EstExp 12-20'!H43</f>
        <v>0</v>
      </c>
      <c r="C960" s="3">
        <f t="shared" si="27"/>
        <v>955</v>
      </c>
      <c r="E960" s="2" t="b">
        <f t="shared" ca="1" si="26"/>
        <v>1</v>
      </c>
      <c r="F960" s="2" cm="1">
        <f t="array" aca="1" ref="F960" ca="1">IF(G960&lt;&gt;"",INDIRECT("'"&amp;G960&amp;"'!"&amp;H960),"")</f>
        <v>0</v>
      </c>
      <c r="G960" s="1582" t="s">
        <v>6960</v>
      </c>
      <c r="H960" s="2" t="s">
        <v>4727</v>
      </c>
    </row>
    <row r="961" spans="1:8" x14ac:dyDescent="0.2">
      <c r="A961">
        <v>956</v>
      </c>
      <c r="B961" s="7">
        <f>'EstExp 12-20'!H44</f>
        <v>100</v>
      </c>
      <c r="C961" s="3">
        <f t="shared" si="27"/>
        <v>856</v>
      </c>
      <c r="E961" s="2" t="b">
        <f t="shared" ca="1" si="26"/>
        <v>1</v>
      </c>
      <c r="F961" s="2" cm="1">
        <f t="array" aca="1" ref="F961" ca="1">IF(G961&lt;&gt;"",INDIRECT("'"&amp;G961&amp;"'!"&amp;H961),"")</f>
        <v>100</v>
      </c>
      <c r="G961" s="1582" t="s">
        <v>6960</v>
      </c>
      <c r="H961" s="2" t="s">
        <v>4728</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6960</v>
      </c>
      <c r="H962" s="2" t="s">
        <v>4729</v>
      </c>
    </row>
    <row r="963" spans="1:8" x14ac:dyDescent="0.2">
      <c r="A963">
        <v>958</v>
      </c>
      <c r="B963" s="7">
        <f>'EstExp 12-20'!H47</f>
        <v>0</v>
      </c>
      <c r="C963" s="3">
        <f t="shared" si="27"/>
        <v>958</v>
      </c>
      <c r="E963" s="2" t="b">
        <f t="shared" ca="1" si="28"/>
        <v>1</v>
      </c>
      <c r="F963" s="2" cm="1">
        <f t="array" aca="1" ref="F963" ca="1">IF(G963&lt;&gt;"",INDIRECT("'"&amp;G963&amp;"'!"&amp;H963),"")</f>
        <v>0</v>
      </c>
      <c r="G963" s="1582" t="s">
        <v>6960</v>
      </c>
      <c r="H963" s="2" t="s">
        <v>4730</v>
      </c>
    </row>
    <row r="964" spans="1:8" x14ac:dyDescent="0.2">
      <c r="A964">
        <v>959</v>
      </c>
      <c r="B964" s="7">
        <f>'EstExp 12-20'!H48</f>
        <v>0</v>
      </c>
      <c r="C964" s="3">
        <f t="shared" si="27"/>
        <v>959</v>
      </c>
      <c r="E964" s="2" t="b">
        <f t="shared" ca="1" si="28"/>
        <v>1</v>
      </c>
      <c r="F964" s="2" cm="1">
        <f t="array" aca="1" ref="F964" ca="1">IF(G964&lt;&gt;"",INDIRECT("'"&amp;G964&amp;"'!"&amp;H964),"")</f>
        <v>0</v>
      </c>
      <c r="G964" s="1582" t="s">
        <v>6960</v>
      </c>
      <c r="H964" s="2" t="s">
        <v>4731</v>
      </c>
    </row>
    <row r="965" spans="1:8" x14ac:dyDescent="0.2">
      <c r="A965">
        <v>960</v>
      </c>
      <c r="B965" s="7">
        <f>'EstExp 12-20'!H49</f>
        <v>0</v>
      </c>
      <c r="C965" s="3">
        <f t="shared" si="27"/>
        <v>960</v>
      </c>
      <c r="E965" s="2" t="b">
        <f t="shared" ca="1" si="28"/>
        <v>1</v>
      </c>
      <c r="F965" s="2" cm="1">
        <f t="array" aca="1" ref="F965" ca="1">IF(G965&lt;&gt;"",INDIRECT("'"&amp;G965&amp;"'!"&amp;H965),"")</f>
        <v>0</v>
      </c>
      <c r="G965" s="1582" t="s">
        <v>6960</v>
      </c>
      <c r="H965" s="2" t="s">
        <v>4732</v>
      </c>
    </row>
    <row r="966" spans="1:8" x14ac:dyDescent="0.2">
      <c r="A966">
        <v>961</v>
      </c>
      <c r="B966" s="7">
        <f>'EstExp 12-20'!H51</f>
        <v>3000</v>
      </c>
      <c r="C966" s="3">
        <f t="shared" si="27"/>
        <v>-2039</v>
      </c>
      <c r="E966" s="2" t="b">
        <f t="shared" ca="1" si="28"/>
        <v>1</v>
      </c>
      <c r="F966" s="2" cm="1">
        <f t="array" aca="1" ref="F966" ca="1">IF(G966&lt;&gt;"",INDIRECT("'"&amp;G966&amp;"'!"&amp;H966),"")</f>
        <v>3000</v>
      </c>
      <c r="G966" s="1582" t="s">
        <v>6960</v>
      </c>
      <c r="H966" s="2" t="s">
        <v>4733</v>
      </c>
    </row>
    <row r="967" spans="1:8" x14ac:dyDescent="0.2">
      <c r="A967">
        <v>962</v>
      </c>
      <c r="B967" s="7">
        <f>'EstExp 12-20'!H52</f>
        <v>1200</v>
      </c>
      <c r="C967" s="3">
        <f t="shared" si="27"/>
        <v>-238</v>
      </c>
      <c r="E967" s="2" t="b">
        <f t="shared" ca="1" si="28"/>
        <v>1</v>
      </c>
      <c r="F967" s="2" cm="1">
        <f t="array" aca="1" ref="F967" ca="1">IF(G967&lt;&gt;"",INDIRECT("'"&amp;G967&amp;"'!"&amp;H967),"")</f>
        <v>1200</v>
      </c>
      <c r="G967" s="1582" t="s">
        <v>6960</v>
      </c>
      <c r="H967" s="2" t="s">
        <v>4734</v>
      </c>
    </row>
    <row r="968" spans="1:8" x14ac:dyDescent="0.2">
      <c r="A968">
        <v>963</v>
      </c>
      <c r="B968" s="7">
        <f>'EstExp 12-20'!H55</f>
        <v>4200</v>
      </c>
      <c r="C968" s="3">
        <f t="shared" ref="C968:C998" si="29">A968-B968</f>
        <v>-3237</v>
      </c>
      <c r="E968" s="2" t="b">
        <f t="shared" ca="1" si="28"/>
        <v>1</v>
      </c>
      <c r="F968" s="2" cm="1">
        <f t="array" aca="1" ref="F968" ca="1">IF(G968&lt;&gt;"",INDIRECT("'"&amp;G968&amp;"'!"&amp;H968),"")</f>
        <v>4200</v>
      </c>
      <c r="G968" s="1582" t="s">
        <v>6960</v>
      </c>
      <c r="H968" s="2" t="s">
        <v>4735</v>
      </c>
    </row>
    <row r="969" spans="1:8" x14ac:dyDescent="0.2">
      <c r="A969">
        <v>964</v>
      </c>
      <c r="B969" s="7">
        <f>'EstExp 12-20'!H57</f>
        <v>1200</v>
      </c>
      <c r="C969" s="3">
        <f t="shared" si="29"/>
        <v>-236</v>
      </c>
      <c r="E969" s="2" t="b">
        <f t="shared" ca="1" si="28"/>
        <v>1</v>
      </c>
      <c r="F969" s="2" cm="1">
        <f t="array" aca="1" ref="F969" ca="1">IF(G969&lt;&gt;"",INDIRECT("'"&amp;G969&amp;"'!"&amp;H969),"")</f>
        <v>1200</v>
      </c>
      <c r="G969" s="1582" t="s">
        <v>6960</v>
      </c>
      <c r="H969" s="2" t="s">
        <v>4736</v>
      </c>
    </row>
    <row r="970" spans="1:8" x14ac:dyDescent="0.2">
      <c r="A970">
        <v>965</v>
      </c>
      <c r="B970" s="7">
        <f>'EstExp 12-20'!H58</f>
        <v>0</v>
      </c>
      <c r="C970" s="3">
        <f t="shared" si="29"/>
        <v>965</v>
      </c>
      <c r="E970" s="2" t="b">
        <f t="shared" ca="1" si="28"/>
        <v>1</v>
      </c>
      <c r="F970" s="2" cm="1">
        <f t="array" aca="1" ref="F970" ca="1">IF(G970&lt;&gt;"",INDIRECT("'"&amp;G970&amp;"'!"&amp;H970),"")</f>
        <v>0</v>
      </c>
      <c r="G970" s="1582" t="s">
        <v>6960</v>
      </c>
      <c r="H970" s="2" t="s">
        <v>4737</v>
      </c>
    </row>
    <row r="971" spans="1:8" x14ac:dyDescent="0.2">
      <c r="A971">
        <v>966</v>
      </c>
      <c r="B971" s="7">
        <f>'EstExp 12-20'!H59</f>
        <v>1200</v>
      </c>
      <c r="C971" s="3">
        <f t="shared" si="29"/>
        <v>-234</v>
      </c>
      <c r="E971" s="2" t="b">
        <f t="shared" ca="1" si="28"/>
        <v>1</v>
      </c>
      <c r="F971" s="2" cm="1">
        <f t="array" aca="1" ref="F971" ca="1">IF(G971&lt;&gt;"",INDIRECT("'"&amp;G971&amp;"'!"&amp;H971),"")</f>
        <v>1200</v>
      </c>
      <c r="G971" s="1582" t="s">
        <v>6960</v>
      </c>
      <c r="H971" s="2" t="s">
        <v>4738</v>
      </c>
    </row>
    <row r="972" spans="1:8" x14ac:dyDescent="0.2">
      <c r="A972">
        <v>967</v>
      </c>
      <c r="B972" s="7">
        <f>'EstExp 12-20'!H61</f>
        <v>0</v>
      </c>
      <c r="C972" s="3">
        <f t="shared" si="29"/>
        <v>967</v>
      </c>
      <c r="E972" s="2" t="b">
        <f t="shared" ca="1" si="28"/>
        <v>1</v>
      </c>
      <c r="F972" s="2" cm="1">
        <f t="array" aca="1" ref="F972" ca="1">IF(G972&lt;&gt;"",INDIRECT("'"&amp;G972&amp;"'!"&amp;H972),"")</f>
        <v>0</v>
      </c>
      <c r="G972" s="1582" t="s">
        <v>6960</v>
      </c>
      <c r="H972" s="2" t="s">
        <v>4739</v>
      </c>
    </row>
    <row r="973" spans="1:8" x14ac:dyDescent="0.2">
      <c r="A973">
        <v>968</v>
      </c>
      <c r="B973" s="7">
        <f>'EstExp 12-20'!H62</f>
        <v>100</v>
      </c>
      <c r="C973" s="3">
        <f t="shared" si="29"/>
        <v>868</v>
      </c>
      <c r="E973" s="2" t="b">
        <f t="shared" ca="1" si="28"/>
        <v>1</v>
      </c>
      <c r="F973" s="2" cm="1">
        <f t="array" aca="1" ref="F973" ca="1">IF(G973&lt;&gt;"",INDIRECT("'"&amp;G973&amp;"'!"&amp;H973),"")</f>
        <v>100</v>
      </c>
      <c r="G973" s="1582" t="s">
        <v>6960</v>
      </c>
      <c r="H973" s="2" t="s">
        <v>4740</v>
      </c>
    </row>
    <row r="974" spans="1:8" x14ac:dyDescent="0.2">
      <c r="A974">
        <v>969</v>
      </c>
      <c r="B974" s="7">
        <f>'EstExp 12-20'!H63</f>
        <v>0</v>
      </c>
      <c r="C974" s="3">
        <f t="shared" si="29"/>
        <v>969</v>
      </c>
      <c r="E974" s="2" t="b">
        <f t="shared" ca="1" si="28"/>
        <v>1</v>
      </c>
      <c r="F974" s="2" cm="1">
        <f t="array" aca="1" ref="F974" ca="1">IF(G974&lt;&gt;"",INDIRECT("'"&amp;G974&amp;"'!"&amp;H974),"")</f>
        <v>0</v>
      </c>
      <c r="G974" s="1582" t="s">
        <v>6960</v>
      </c>
      <c r="H974" s="2" t="s">
        <v>4741</v>
      </c>
    </row>
    <row r="975" spans="1:8" x14ac:dyDescent="0.2">
      <c r="A975">
        <v>970</v>
      </c>
      <c r="B975" s="7">
        <f>'EstExp 12-20'!H64</f>
        <v>0</v>
      </c>
      <c r="C975" s="3">
        <f t="shared" si="29"/>
        <v>970</v>
      </c>
      <c r="E975" s="2" t="b">
        <f t="shared" ca="1" si="28"/>
        <v>1</v>
      </c>
      <c r="F975" s="2" cm="1">
        <f t="array" aca="1" ref="F975" ca="1">IF(G975&lt;&gt;"",INDIRECT("'"&amp;G975&amp;"'!"&amp;H975),"")</f>
        <v>0</v>
      </c>
      <c r="G975" s="1582" t="s">
        <v>6960</v>
      </c>
      <c r="H975" s="2" t="s">
        <v>4742</v>
      </c>
    </row>
    <row r="976" spans="1:8" x14ac:dyDescent="0.2">
      <c r="A976">
        <v>971</v>
      </c>
      <c r="B976" s="7">
        <f>'EstExp 12-20'!H65</f>
        <v>900</v>
      </c>
      <c r="C976" s="3">
        <f t="shared" si="29"/>
        <v>71</v>
      </c>
      <c r="E976" s="2" t="b">
        <f t="shared" ca="1" si="28"/>
        <v>1</v>
      </c>
      <c r="F976" s="2" cm="1">
        <f t="array" aca="1" ref="F976" ca="1">IF(G976&lt;&gt;"",INDIRECT("'"&amp;G976&amp;"'!"&amp;H976),"")</f>
        <v>900</v>
      </c>
      <c r="G976" s="1582" t="s">
        <v>6960</v>
      </c>
      <c r="H976" s="2" t="s">
        <v>4743</v>
      </c>
    </row>
    <row r="977" spans="1:19" x14ac:dyDescent="0.2">
      <c r="A977">
        <v>972</v>
      </c>
      <c r="B977" s="7">
        <f>'EstExp 12-20'!H66</f>
        <v>0</v>
      </c>
      <c r="C977" s="3">
        <f t="shared" si="29"/>
        <v>972</v>
      </c>
      <c r="E977" s="2" t="b">
        <f t="shared" ca="1" si="28"/>
        <v>1</v>
      </c>
      <c r="F977" s="2" cm="1">
        <f t="array" aca="1" ref="F977" ca="1">IF(G977&lt;&gt;"",INDIRECT("'"&amp;G977&amp;"'!"&amp;H977),"")</f>
        <v>0</v>
      </c>
      <c r="G977" s="1582" t="s">
        <v>6960</v>
      </c>
      <c r="H977" s="2" t="s">
        <v>4744</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1000</v>
      </c>
      <c r="C979" s="3">
        <f t="shared" si="29"/>
        <v>-26</v>
      </c>
      <c r="E979" s="2" t="b">
        <f t="shared" ca="1" si="28"/>
        <v>1</v>
      </c>
      <c r="F979" s="2" cm="1">
        <f t="array" aca="1" ref="F979" ca="1">IF(G979&lt;&gt;"",INDIRECT("'"&amp;G979&amp;"'!"&amp;H979),"")</f>
        <v>1000</v>
      </c>
      <c r="G979" s="1582" t="s">
        <v>6960</v>
      </c>
      <c r="H979" s="2" t="s">
        <v>4745</v>
      </c>
    </row>
    <row r="980" spans="1:19" x14ac:dyDescent="0.2">
      <c r="A980">
        <v>975</v>
      </c>
      <c r="B980" s="7">
        <f>'EstExp 12-20'!H69</f>
        <v>0</v>
      </c>
      <c r="C980" s="3">
        <f t="shared" si="29"/>
        <v>975</v>
      </c>
      <c r="E980" s="2" t="b">
        <f t="shared" ca="1" si="28"/>
        <v>1</v>
      </c>
      <c r="F980" s="2" cm="1">
        <f t="array" aca="1" ref="F980" ca="1">IF(G980&lt;&gt;"",INDIRECT("'"&amp;G980&amp;"'!"&amp;H980),"")</f>
        <v>0</v>
      </c>
      <c r="G980" s="1582" t="s">
        <v>6960</v>
      </c>
      <c r="H980" s="2" t="s">
        <v>4746</v>
      </c>
    </row>
    <row r="981" spans="1:19" x14ac:dyDescent="0.2">
      <c r="A981">
        <v>976</v>
      </c>
      <c r="B981" s="7">
        <f>'EstExp 12-20'!H70</f>
        <v>0</v>
      </c>
      <c r="C981" s="3">
        <f t="shared" si="29"/>
        <v>976</v>
      </c>
      <c r="E981" s="2" t="b">
        <f t="shared" ca="1" si="28"/>
        <v>1</v>
      </c>
      <c r="F981" s="2" cm="1">
        <f t="array" aca="1" ref="F981" ca="1">IF(G981&lt;&gt;"",INDIRECT("'"&amp;G981&amp;"'!"&amp;H981),"")</f>
        <v>0</v>
      </c>
      <c r="G981" s="1582" t="s">
        <v>6960</v>
      </c>
      <c r="H981" s="2" t="s">
        <v>4747</v>
      </c>
    </row>
    <row r="982" spans="1:19" x14ac:dyDescent="0.2">
      <c r="A982">
        <v>977</v>
      </c>
      <c r="B982" s="7">
        <f>'EstExp 12-20'!H71</f>
        <v>0</v>
      </c>
      <c r="C982" s="3">
        <f t="shared" si="29"/>
        <v>977</v>
      </c>
      <c r="E982" s="2" t="b">
        <f t="shared" ca="1" si="28"/>
        <v>1</v>
      </c>
      <c r="F982" s="2" cm="1">
        <f t="array" aca="1" ref="F982" ca="1">IF(G982&lt;&gt;"",INDIRECT("'"&amp;G982&amp;"'!"&amp;H982),"")</f>
        <v>0</v>
      </c>
      <c r="G982" s="1582" t="s">
        <v>6960</v>
      </c>
      <c r="H982" s="2" t="s">
        <v>4748</v>
      </c>
    </row>
    <row r="983" spans="1:19" x14ac:dyDescent="0.2">
      <c r="A983">
        <v>978</v>
      </c>
      <c r="B983" s="7">
        <f>'EstExp 12-20'!H72</f>
        <v>0</v>
      </c>
      <c r="C983" s="3">
        <f t="shared" si="29"/>
        <v>978</v>
      </c>
      <c r="E983" s="2" t="b">
        <f t="shared" ca="1" si="28"/>
        <v>1</v>
      </c>
      <c r="F983" s="2" cm="1">
        <f t="array" aca="1" ref="F983" ca="1">IF(G983&lt;&gt;"",INDIRECT("'"&amp;G983&amp;"'!"&amp;H983),"")</f>
        <v>0</v>
      </c>
      <c r="G983" s="1582" t="s">
        <v>6960</v>
      </c>
      <c r="H983" s="2" t="s">
        <v>4749</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6960</v>
      </c>
      <c r="H985" s="2" t="s">
        <v>4750</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6960</v>
      </c>
      <c r="H987" s="2" t="s">
        <v>4751</v>
      </c>
    </row>
    <row r="988" spans="1:19" x14ac:dyDescent="0.2">
      <c r="A988">
        <v>983</v>
      </c>
      <c r="B988" s="7">
        <f>'EstExp 12-20'!H75</f>
        <v>0</v>
      </c>
      <c r="C988" s="3">
        <f t="shared" si="29"/>
        <v>983</v>
      </c>
      <c r="E988" s="2" t="b">
        <f t="shared" ca="1" si="28"/>
        <v>1</v>
      </c>
      <c r="F988" s="2" cm="1">
        <f t="array" aca="1" ref="F988" ca="1">IF(G988&lt;&gt;"",INDIRECT("'"&amp;G988&amp;"'!"&amp;H988),"")</f>
        <v>0</v>
      </c>
      <c r="G988" s="1582" t="s">
        <v>6960</v>
      </c>
      <c r="H988" s="2" t="s">
        <v>4752</v>
      </c>
    </row>
    <row r="989" spans="1:19" x14ac:dyDescent="0.2">
      <c r="A989">
        <v>984</v>
      </c>
      <c r="B989" s="7">
        <f>'EstExp 12-20'!H76</f>
        <v>6500</v>
      </c>
      <c r="C989" s="3">
        <f t="shared" si="29"/>
        <v>-5516</v>
      </c>
      <c r="E989" s="2" t="b">
        <f t="shared" ca="1" si="28"/>
        <v>1</v>
      </c>
      <c r="F989" s="2" cm="1">
        <f t="array" aca="1" ref="F989" ca="1">IF(G989&lt;&gt;"",INDIRECT("'"&amp;G989&amp;"'!"&amp;H989),"")</f>
        <v>6500</v>
      </c>
      <c r="G989" s="1582" t="s">
        <v>6960</v>
      </c>
      <c r="H989" s="2" t="s">
        <v>4753</v>
      </c>
    </row>
    <row r="990" spans="1:19" x14ac:dyDescent="0.2">
      <c r="A990">
        <v>985</v>
      </c>
      <c r="B990" s="7">
        <f>'EstExp 12-20'!H77</f>
        <v>0</v>
      </c>
      <c r="C990" s="3">
        <f t="shared" si="29"/>
        <v>985</v>
      </c>
      <c r="E990" s="2" t="b">
        <f t="shared" ca="1" si="28"/>
        <v>1</v>
      </c>
      <c r="F990" s="2" cm="1">
        <f t="array" aca="1" ref="F990" ca="1">IF(G990&lt;&gt;"",INDIRECT("'"&amp;G990&amp;"'!"&amp;H990),"")</f>
        <v>0</v>
      </c>
      <c r="G990" s="1582" t="s">
        <v>6960</v>
      </c>
      <c r="H990" s="2" t="s">
        <v>4754</v>
      </c>
    </row>
    <row r="991" spans="1:19" x14ac:dyDescent="0.2">
      <c r="A991">
        <v>986</v>
      </c>
      <c r="B991" s="8">
        <f>'EstExp 12-20'!H104</f>
        <v>752800</v>
      </c>
      <c r="C991" s="3">
        <f t="shared" si="29"/>
        <v>-751814</v>
      </c>
      <c r="E991" s="2" t="b">
        <f t="shared" ca="1" si="28"/>
        <v>1</v>
      </c>
      <c r="F991" s="2" cm="1">
        <f t="array" aca="1" ref="F991" ca="1">IF(G991&lt;&gt;"",INDIRECT("'"&amp;G991&amp;"'!"&amp;H991),"")</f>
        <v>752800</v>
      </c>
      <c r="G991" s="1582" t="s">
        <v>6960</v>
      </c>
      <c r="H991" s="2" t="s">
        <v>4755</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6960</v>
      </c>
      <c r="H992" s="2" t="s">
        <v>4756</v>
      </c>
    </row>
    <row r="993" spans="1:11" x14ac:dyDescent="0.2">
      <c r="A993">
        <v>988</v>
      </c>
      <c r="B993" s="7">
        <f>'EstExp 12-20'!H108</f>
        <v>0</v>
      </c>
      <c r="C993" s="3">
        <f t="shared" si="29"/>
        <v>988</v>
      </c>
      <c r="E993" s="2" t="b">
        <f t="shared" ca="1" si="28"/>
        <v>1</v>
      </c>
      <c r="F993" s="2" cm="1">
        <f t="array" aca="1" ref="F993" ca="1">IF(G993&lt;&gt;"",INDIRECT("'"&amp;G993&amp;"'!"&amp;H993),"")</f>
        <v>0</v>
      </c>
      <c r="G993" s="1582" t="s">
        <v>6960</v>
      </c>
      <c r="H993" s="2" t="s">
        <v>4757</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6960</v>
      </c>
      <c r="H995" s="2" t="s">
        <v>4758</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6960</v>
      </c>
      <c r="H997" s="2" t="s">
        <v>4759</v>
      </c>
    </row>
    <row r="998" spans="1:11" x14ac:dyDescent="0.2">
      <c r="A998">
        <v>993</v>
      </c>
      <c r="B998" s="7">
        <f>'EstExp 12-20'!H116</f>
        <v>772500</v>
      </c>
      <c r="C998" s="3">
        <f t="shared" si="29"/>
        <v>-771507</v>
      </c>
      <c r="E998" s="2" t="b">
        <f t="shared" ca="1" si="28"/>
        <v>1</v>
      </c>
      <c r="F998" s="2" cm="1">
        <f t="array" aca="1" ref="F998" ca="1">IF(G998&lt;&gt;"",INDIRECT("'"&amp;G998&amp;"'!"&amp;H998),"")</f>
        <v>772500</v>
      </c>
      <c r="G998" s="1582" t="s">
        <v>6960</v>
      </c>
      <c r="H998" s="2" t="s">
        <v>4760</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2052550</v>
      </c>
      <c r="C1037" s="3">
        <f t="shared" ref="C1037:C1095" si="31">A1037-B1037</f>
        <v>-2051518</v>
      </c>
      <c r="E1037" s="2" t="b">
        <f t="shared" ca="1" si="30"/>
        <v>1</v>
      </c>
      <c r="F1037" s="2" cm="1">
        <f t="array" aca="1" ref="F1037" ca="1">IF(G1037&lt;&gt;"",INDIRECT("'"&amp;G1037&amp;"'!"&amp;H1037),"")</f>
        <v>2052550</v>
      </c>
      <c r="G1037" s="1582" t="s">
        <v>6960</v>
      </c>
      <c r="H1037" s="2" t="s">
        <v>4761</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6960</v>
      </c>
      <c r="H1038" s="2" t="s">
        <v>4498</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6960</v>
      </c>
      <c r="H1044" s="2" t="s">
        <v>4417</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6960</v>
      </c>
      <c r="H1048" s="2" t="s">
        <v>4496</v>
      </c>
    </row>
    <row r="1049" spans="1:11" x14ac:dyDescent="0.2">
      <c r="A1049">
        <v>1044</v>
      </c>
      <c r="B1049" s="7">
        <f>'EstExp 12-20'!K13</f>
        <v>75200</v>
      </c>
      <c r="C1049" s="3">
        <f t="shared" si="31"/>
        <v>-74156</v>
      </c>
      <c r="E1049" s="2" t="b">
        <f t="shared" ca="1" si="30"/>
        <v>1</v>
      </c>
      <c r="F1049" s="2" cm="1">
        <f t="array" aca="1" ref="F1049" ca="1">IF(G1049&lt;&gt;"",INDIRECT("'"&amp;G1049&amp;"'!"&amp;H1049),"")</f>
        <v>75200</v>
      </c>
      <c r="G1049" s="1582" t="s">
        <v>6960</v>
      </c>
      <c r="H1049" s="2" t="s">
        <v>4497</v>
      </c>
    </row>
    <row r="1050" spans="1:11" x14ac:dyDescent="0.2">
      <c r="A1050">
        <v>1045</v>
      </c>
      <c r="B1050" s="7">
        <f>'EstExp 12-20'!K14</f>
        <v>401200</v>
      </c>
      <c r="C1050" s="3">
        <f t="shared" si="31"/>
        <v>-400155</v>
      </c>
      <c r="E1050" s="2" t="b">
        <f t="shared" ca="1" si="30"/>
        <v>1</v>
      </c>
      <c r="F1050" s="2" cm="1">
        <f t="array" aca="1" ref="F1050" ca="1">IF(G1050&lt;&gt;"",INDIRECT("'"&amp;G1050&amp;"'!"&amp;H1050),"")</f>
        <v>401200</v>
      </c>
      <c r="G1050" s="1582" t="s">
        <v>6960</v>
      </c>
      <c r="H1050" s="2" t="s">
        <v>4762</v>
      </c>
    </row>
    <row r="1051" spans="1:11" x14ac:dyDescent="0.2">
      <c r="A1051">
        <v>1046</v>
      </c>
      <c r="B1051" s="7">
        <f>'EstExp 12-20'!K15</f>
        <v>0</v>
      </c>
      <c r="C1051" s="3">
        <f t="shared" si="31"/>
        <v>1046</v>
      </c>
      <c r="E1051" s="2" t="b">
        <f t="shared" ca="1" si="30"/>
        <v>1</v>
      </c>
      <c r="F1051" s="2" cm="1">
        <f t="array" aca="1" ref="F1051" ca="1">IF(G1051&lt;&gt;"",INDIRECT("'"&amp;G1051&amp;"'!"&amp;H1051),"")</f>
        <v>0</v>
      </c>
      <c r="G1051" s="1582" t="s">
        <v>6960</v>
      </c>
      <c r="H1051" s="2" t="s">
        <v>4763</v>
      </c>
    </row>
    <row r="1052" spans="1:11" x14ac:dyDescent="0.2">
      <c r="A1052">
        <v>1047</v>
      </c>
      <c r="B1052" s="7">
        <f>'EstExp 12-20'!K34</f>
        <v>3191350</v>
      </c>
      <c r="C1052" s="3">
        <f t="shared" si="31"/>
        <v>-3190303</v>
      </c>
      <c r="E1052" s="2" t="b">
        <f t="shared" ca="1" si="30"/>
        <v>1</v>
      </c>
      <c r="F1052" s="2" cm="1">
        <f t="array" aca="1" ref="F1052" ca="1">IF(G1052&lt;&gt;"",INDIRECT("'"&amp;G1052&amp;"'!"&amp;H1052),"")</f>
        <v>3191350</v>
      </c>
      <c r="G1052" s="1582" t="s">
        <v>6960</v>
      </c>
      <c r="H1052" s="2" t="s">
        <v>4764</v>
      </c>
    </row>
    <row r="1053" spans="1:11" x14ac:dyDescent="0.2">
      <c r="A1053">
        <v>1048</v>
      </c>
      <c r="B1053" s="7">
        <f>'EstExp 12-20'!K38</f>
        <v>63900</v>
      </c>
      <c r="C1053" s="3">
        <f t="shared" si="31"/>
        <v>-62852</v>
      </c>
      <c r="E1053" s="2" t="b">
        <f t="shared" ca="1" si="30"/>
        <v>1</v>
      </c>
      <c r="F1053" s="2" cm="1">
        <f t="array" aca="1" ref="F1053" ca="1">IF(G1053&lt;&gt;"",INDIRECT("'"&amp;G1053&amp;"'!"&amp;H1053),"")</f>
        <v>63900</v>
      </c>
      <c r="G1053" s="1582" t="s">
        <v>6960</v>
      </c>
      <c r="H1053" s="2" t="s">
        <v>4765</v>
      </c>
    </row>
    <row r="1054" spans="1:11" x14ac:dyDescent="0.2">
      <c r="A1054">
        <v>1049</v>
      </c>
      <c r="B1054" s="7">
        <f>'EstExp 12-20'!K39</f>
        <v>75650</v>
      </c>
      <c r="C1054" s="3">
        <f t="shared" si="31"/>
        <v>-74601</v>
      </c>
      <c r="E1054" s="2" t="b">
        <f t="shared" ca="1" si="30"/>
        <v>1</v>
      </c>
      <c r="F1054" s="2" cm="1">
        <f t="array" aca="1" ref="F1054" ca="1">IF(G1054&lt;&gt;"",INDIRECT("'"&amp;G1054&amp;"'!"&amp;H1054),"")</f>
        <v>75650</v>
      </c>
      <c r="G1054" s="1582" t="s">
        <v>6960</v>
      </c>
      <c r="H1054" s="2" t="s">
        <v>4766</v>
      </c>
    </row>
    <row r="1055" spans="1:11" x14ac:dyDescent="0.2">
      <c r="A1055">
        <v>1050</v>
      </c>
      <c r="B1055" s="7">
        <f>'EstExp 12-20'!K40</f>
        <v>1000</v>
      </c>
      <c r="C1055" s="3">
        <f t="shared" si="31"/>
        <v>50</v>
      </c>
      <c r="E1055" s="2" t="b">
        <f t="shared" ca="1" si="30"/>
        <v>1</v>
      </c>
      <c r="F1055" s="2" cm="1">
        <f t="array" aca="1" ref="F1055" ca="1">IF(G1055&lt;&gt;"",INDIRECT("'"&amp;G1055&amp;"'!"&amp;H1055),"")</f>
        <v>1000</v>
      </c>
      <c r="G1055" s="1582" t="s">
        <v>6960</v>
      </c>
      <c r="H1055" s="2" t="s">
        <v>4767</v>
      </c>
    </row>
    <row r="1056" spans="1:11" x14ac:dyDescent="0.2">
      <c r="A1056">
        <v>1051</v>
      </c>
      <c r="B1056" s="7">
        <f>'EstExp 12-20'!K41</f>
        <v>100</v>
      </c>
      <c r="C1056" s="3">
        <f t="shared" si="31"/>
        <v>951</v>
      </c>
      <c r="E1056" s="2" t="b">
        <f t="shared" ca="1" si="30"/>
        <v>1</v>
      </c>
      <c r="F1056" s="2" cm="1">
        <f t="array" aca="1" ref="F1056" ca="1">IF(G1056&lt;&gt;"",INDIRECT("'"&amp;G1056&amp;"'!"&amp;H1056),"")</f>
        <v>100</v>
      </c>
      <c r="G1056" s="1582" t="s">
        <v>6960</v>
      </c>
      <c r="H1056" s="2" t="s">
        <v>4768</v>
      </c>
    </row>
    <row r="1057" spans="1:8" x14ac:dyDescent="0.2">
      <c r="A1057">
        <v>1052</v>
      </c>
      <c r="B1057" s="7">
        <f>'EstExp 12-20'!K42</f>
        <v>53000</v>
      </c>
      <c r="C1057" s="3">
        <f t="shared" si="31"/>
        <v>-51948</v>
      </c>
      <c r="E1057" s="2" t="b">
        <f t="shared" ca="1" si="30"/>
        <v>1</v>
      </c>
      <c r="F1057" s="2" cm="1">
        <f t="array" aca="1" ref="F1057" ca="1">IF(G1057&lt;&gt;"",INDIRECT("'"&amp;G1057&amp;"'!"&amp;H1057),"")</f>
        <v>53000</v>
      </c>
      <c r="G1057" s="1582" t="s">
        <v>6960</v>
      </c>
      <c r="H1057" s="2" t="s">
        <v>4769</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6960</v>
      </c>
      <c r="H1058" s="2" t="s">
        <v>4770</v>
      </c>
    </row>
    <row r="1059" spans="1:8" x14ac:dyDescent="0.2">
      <c r="A1059">
        <v>1054</v>
      </c>
      <c r="B1059" s="7">
        <f>'EstExp 12-20'!K44</f>
        <v>193650</v>
      </c>
      <c r="C1059" s="3">
        <f t="shared" si="31"/>
        <v>-192596</v>
      </c>
      <c r="E1059" s="2" t="b">
        <f t="shared" ca="1" si="30"/>
        <v>1</v>
      </c>
      <c r="F1059" s="2" cm="1">
        <f t="array" aca="1" ref="F1059" ca="1">IF(G1059&lt;&gt;"",INDIRECT("'"&amp;G1059&amp;"'!"&amp;H1059),"")</f>
        <v>193650</v>
      </c>
      <c r="G1059" s="1582" t="s">
        <v>6960</v>
      </c>
      <c r="H1059" s="2" t="s">
        <v>4771</v>
      </c>
    </row>
    <row r="1060" spans="1:8" x14ac:dyDescent="0.2">
      <c r="A1060">
        <v>1055</v>
      </c>
      <c r="B1060" s="7">
        <f>'EstExp 12-20'!K46</f>
        <v>21100</v>
      </c>
      <c r="C1060" s="3">
        <f t="shared" si="31"/>
        <v>-20045</v>
      </c>
      <c r="E1060" s="2" t="b">
        <f t="shared" ca="1" si="30"/>
        <v>1</v>
      </c>
      <c r="F1060" s="2" cm="1">
        <f t="array" aca="1" ref="F1060" ca="1">IF(G1060&lt;&gt;"",INDIRECT("'"&amp;G1060&amp;"'!"&amp;H1060),"")</f>
        <v>21100</v>
      </c>
      <c r="G1060" s="1582" t="s">
        <v>6960</v>
      </c>
      <c r="H1060" s="2" t="s">
        <v>4772</v>
      </c>
    </row>
    <row r="1061" spans="1:8" x14ac:dyDescent="0.2">
      <c r="A1061">
        <v>1056</v>
      </c>
      <c r="B1061" s="7">
        <f>'EstExp 12-20'!K47</f>
        <v>98400</v>
      </c>
      <c r="C1061" s="3">
        <f t="shared" si="31"/>
        <v>-97344</v>
      </c>
      <c r="E1061" s="2" t="b">
        <f t="shared" ca="1" si="30"/>
        <v>1</v>
      </c>
      <c r="F1061" s="2" cm="1">
        <f t="array" aca="1" ref="F1061" ca="1">IF(G1061&lt;&gt;"",INDIRECT("'"&amp;G1061&amp;"'!"&amp;H1061),"")</f>
        <v>98400</v>
      </c>
      <c r="G1061" s="1582" t="s">
        <v>6960</v>
      </c>
      <c r="H1061" s="2" t="s">
        <v>4773</v>
      </c>
    </row>
    <row r="1062" spans="1:8" x14ac:dyDescent="0.2">
      <c r="A1062">
        <v>1057</v>
      </c>
      <c r="B1062" s="7">
        <f>'EstExp 12-20'!K48</f>
        <v>31500</v>
      </c>
      <c r="C1062" s="3">
        <f t="shared" si="31"/>
        <v>-30443</v>
      </c>
      <c r="E1062" s="2" t="b">
        <f t="shared" ca="1" si="30"/>
        <v>1</v>
      </c>
      <c r="F1062" s="2" cm="1">
        <f t="array" aca="1" ref="F1062" ca="1">IF(G1062&lt;&gt;"",INDIRECT("'"&amp;G1062&amp;"'!"&amp;H1062),"")</f>
        <v>31500</v>
      </c>
      <c r="G1062" s="1582" t="s">
        <v>6960</v>
      </c>
      <c r="H1062" s="2" t="s">
        <v>4774</v>
      </c>
    </row>
    <row r="1063" spans="1:8" x14ac:dyDescent="0.2">
      <c r="A1063">
        <v>1058</v>
      </c>
      <c r="B1063" s="7">
        <f>'EstExp 12-20'!K49</f>
        <v>151000</v>
      </c>
      <c r="C1063" s="3">
        <f t="shared" si="31"/>
        <v>-149942</v>
      </c>
      <c r="E1063" s="2" t="b">
        <f t="shared" ca="1" si="30"/>
        <v>1</v>
      </c>
      <c r="F1063" s="2" cm="1">
        <f t="array" aca="1" ref="F1063" ca="1">IF(G1063&lt;&gt;"",INDIRECT("'"&amp;G1063&amp;"'!"&amp;H1063),"")</f>
        <v>151000</v>
      </c>
      <c r="G1063" s="1582" t="s">
        <v>6960</v>
      </c>
      <c r="H1063" s="2" t="s">
        <v>4775</v>
      </c>
    </row>
    <row r="1064" spans="1:8" x14ac:dyDescent="0.2">
      <c r="A1064">
        <v>1059</v>
      </c>
      <c r="B1064" s="7">
        <f>'EstExp 12-20'!K51</f>
        <v>42950</v>
      </c>
      <c r="C1064" s="3">
        <f t="shared" si="31"/>
        <v>-41891</v>
      </c>
      <c r="E1064" s="2" t="b">
        <f t="shared" ca="1" si="30"/>
        <v>1</v>
      </c>
      <c r="F1064" s="2" cm="1">
        <f t="array" aca="1" ref="F1064" ca="1">IF(G1064&lt;&gt;"",INDIRECT("'"&amp;G1064&amp;"'!"&amp;H1064),"")</f>
        <v>42950</v>
      </c>
      <c r="G1064" s="1582" t="s">
        <v>6960</v>
      </c>
      <c r="H1064" s="2" t="s">
        <v>4776</v>
      </c>
    </row>
    <row r="1065" spans="1:8" x14ac:dyDescent="0.2">
      <c r="A1065">
        <v>1060</v>
      </c>
      <c r="B1065" s="7">
        <f>'EstExp 12-20'!K52</f>
        <v>247900</v>
      </c>
      <c r="C1065" s="3">
        <f t="shared" si="31"/>
        <v>-246840</v>
      </c>
      <c r="E1065" s="2" t="b">
        <f t="shared" ca="1" si="30"/>
        <v>1</v>
      </c>
      <c r="F1065" s="2" cm="1">
        <f t="array" aca="1" ref="F1065" ca="1">IF(G1065&lt;&gt;"",INDIRECT("'"&amp;G1065&amp;"'!"&amp;H1065),"")</f>
        <v>247900</v>
      </c>
      <c r="G1065" s="1582" t="s">
        <v>6960</v>
      </c>
      <c r="H1065" s="2" t="s">
        <v>4777</v>
      </c>
    </row>
    <row r="1066" spans="1:8" x14ac:dyDescent="0.2">
      <c r="A1066">
        <v>1061</v>
      </c>
      <c r="B1066" s="7">
        <f>'EstExp 12-20'!K55</f>
        <v>290850</v>
      </c>
      <c r="C1066" s="3">
        <f t="shared" si="31"/>
        <v>-289789</v>
      </c>
      <c r="E1066" s="2" t="b">
        <f t="shared" ca="1" si="30"/>
        <v>1</v>
      </c>
      <c r="F1066" s="2" cm="1">
        <f t="array" aca="1" ref="F1066" ca="1">IF(G1066&lt;&gt;"",INDIRECT("'"&amp;G1066&amp;"'!"&amp;H1066),"")</f>
        <v>290850</v>
      </c>
      <c r="G1066" s="1582" t="s">
        <v>6960</v>
      </c>
      <c r="H1066" s="2" t="s">
        <v>4778</v>
      </c>
    </row>
    <row r="1067" spans="1:8" x14ac:dyDescent="0.2">
      <c r="A1067">
        <v>1062</v>
      </c>
      <c r="B1067" s="7">
        <f>'EstExp 12-20'!K57</f>
        <v>571600</v>
      </c>
      <c r="C1067" s="3">
        <f t="shared" si="31"/>
        <v>-570538</v>
      </c>
      <c r="E1067" s="2" t="b">
        <f t="shared" ca="1" si="30"/>
        <v>1</v>
      </c>
      <c r="F1067" s="2" cm="1">
        <f t="array" aca="1" ref="F1067" ca="1">IF(G1067&lt;&gt;"",INDIRECT("'"&amp;G1067&amp;"'!"&amp;H1067),"")</f>
        <v>571600</v>
      </c>
      <c r="G1067" s="1582" t="s">
        <v>6960</v>
      </c>
      <c r="H1067" s="2" t="s">
        <v>4779</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6960</v>
      </c>
      <c r="H1068" s="2" t="s">
        <v>4780</v>
      </c>
    </row>
    <row r="1069" spans="1:8" x14ac:dyDescent="0.2">
      <c r="A1069">
        <v>1064</v>
      </c>
      <c r="B1069" s="7">
        <f>'EstExp 12-20'!K59</f>
        <v>571600</v>
      </c>
      <c r="C1069" s="3">
        <f t="shared" si="31"/>
        <v>-570536</v>
      </c>
      <c r="E1069" s="2" t="b">
        <f t="shared" ca="1" si="30"/>
        <v>1</v>
      </c>
      <c r="F1069" s="2" cm="1">
        <f t="array" aca="1" ref="F1069" ca="1">IF(G1069&lt;&gt;"",INDIRECT("'"&amp;G1069&amp;"'!"&amp;H1069),"")</f>
        <v>571600</v>
      </c>
      <c r="G1069" s="1582" t="s">
        <v>6960</v>
      </c>
      <c r="H1069" s="2" t="s">
        <v>4781</v>
      </c>
    </row>
    <row r="1070" spans="1:8" x14ac:dyDescent="0.2">
      <c r="A1070">
        <v>1065</v>
      </c>
      <c r="B1070" s="7">
        <f>'EstExp 12-20'!K61</f>
        <v>0</v>
      </c>
      <c r="C1070" s="3">
        <f t="shared" si="31"/>
        <v>1065</v>
      </c>
      <c r="E1070" s="2" t="b">
        <f t="shared" ca="1" si="30"/>
        <v>1</v>
      </c>
      <c r="F1070" s="2" cm="1">
        <f t="array" aca="1" ref="F1070" ca="1">IF(G1070&lt;&gt;"",INDIRECT("'"&amp;G1070&amp;"'!"&amp;H1070),"")</f>
        <v>0</v>
      </c>
      <c r="G1070" s="1582" t="s">
        <v>6960</v>
      </c>
      <c r="H1070" s="2" t="s">
        <v>4782</v>
      </c>
    </row>
    <row r="1071" spans="1:8" x14ac:dyDescent="0.2">
      <c r="A1071">
        <v>1066</v>
      </c>
      <c r="B1071" s="7">
        <f>'EstExp 12-20'!K62</f>
        <v>97050</v>
      </c>
      <c r="C1071" s="3">
        <f t="shared" si="31"/>
        <v>-95984</v>
      </c>
      <c r="E1071" s="2" t="b">
        <f t="shared" ca="1" si="30"/>
        <v>1</v>
      </c>
      <c r="F1071" s="2" cm="1">
        <f t="array" aca="1" ref="F1071" ca="1">IF(G1071&lt;&gt;"",INDIRECT("'"&amp;G1071&amp;"'!"&amp;H1071),"")</f>
        <v>97050</v>
      </c>
      <c r="G1071" s="1582" t="s">
        <v>6960</v>
      </c>
      <c r="H1071" s="2" t="s">
        <v>4783</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6960</v>
      </c>
      <c r="H1072" s="2" t="s">
        <v>4784</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6960</v>
      </c>
      <c r="H1073" s="2" t="s">
        <v>4785</v>
      </c>
    </row>
    <row r="1074" spans="1:11" x14ac:dyDescent="0.2">
      <c r="A1074">
        <v>1069</v>
      </c>
      <c r="B1074" s="7">
        <f>'EstExp 12-20'!K65</f>
        <v>230200</v>
      </c>
      <c r="C1074" s="3">
        <f t="shared" si="31"/>
        <v>-229131</v>
      </c>
      <c r="E1074" s="2" t="b">
        <f t="shared" ca="1" si="30"/>
        <v>1</v>
      </c>
      <c r="F1074" s="2" cm="1">
        <f t="array" aca="1" ref="F1074" ca="1">IF(G1074&lt;&gt;"",INDIRECT("'"&amp;G1074&amp;"'!"&amp;H1074),"")</f>
        <v>230200</v>
      </c>
      <c r="G1074" s="1582" t="s">
        <v>6960</v>
      </c>
      <c r="H1074" s="2" t="s">
        <v>4786</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6960</v>
      </c>
      <c r="H1075" s="2" t="s">
        <v>4787</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327250</v>
      </c>
      <c r="C1077" s="3">
        <f t="shared" si="31"/>
        <v>-326178</v>
      </c>
      <c r="E1077" s="2" t="b">
        <f t="shared" ca="1" si="30"/>
        <v>1</v>
      </c>
      <c r="F1077" s="2" cm="1">
        <f t="array" aca="1" ref="F1077" ca="1">IF(G1077&lt;&gt;"",INDIRECT("'"&amp;G1077&amp;"'!"&amp;H1077),"")</f>
        <v>327250</v>
      </c>
      <c r="G1077" s="1582" t="s">
        <v>6960</v>
      </c>
      <c r="H1077" s="2" t="s">
        <v>4788</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6960</v>
      </c>
      <c r="H1078" s="2" t="s">
        <v>4789</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6960</v>
      </c>
      <c r="H1079" s="2" t="s">
        <v>4790</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6960</v>
      </c>
      <c r="H1080" s="2" t="s">
        <v>4791</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6960</v>
      </c>
      <c r="H1081" s="2" t="s">
        <v>4792</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8000</v>
      </c>
      <c r="C1083" s="3">
        <f t="shared" si="31"/>
        <v>-6922</v>
      </c>
      <c r="E1083" s="2" t="b">
        <f t="shared" ca="1" si="30"/>
        <v>1</v>
      </c>
      <c r="F1083" s="2" cm="1">
        <f t="array" aca="1" ref="F1083" ca="1">IF(G1083&lt;&gt;"",INDIRECT("'"&amp;G1083&amp;"'!"&amp;H1083),"")</f>
        <v>8000</v>
      </c>
      <c r="G1083" s="1582" t="s">
        <v>6960</v>
      </c>
      <c r="H1083" s="2" t="s">
        <v>4793</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8000</v>
      </c>
      <c r="C1085" s="3">
        <f t="shared" si="31"/>
        <v>-6920</v>
      </c>
      <c r="E1085" s="2" t="b">
        <f t="shared" ca="1" si="30"/>
        <v>1</v>
      </c>
      <c r="F1085" s="2" cm="1">
        <f t="array" aca="1" ref="F1085" ca="1">IF(G1085&lt;&gt;"",INDIRECT("'"&amp;G1085&amp;"'!"&amp;H1085),"")</f>
        <v>8000</v>
      </c>
      <c r="G1085" s="1582" t="s">
        <v>6960</v>
      </c>
      <c r="H1085" s="2" t="s">
        <v>4794</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6960</v>
      </c>
      <c r="H1086" s="2" t="s">
        <v>4795</v>
      </c>
    </row>
    <row r="1087" spans="1:11" x14ac:dyDescent="0.2">
      <c r="A1087">
        <v>1082</v>
      </c>
      <c r="B1087" s="7">
        <f>'EstExp 12-20'!K76</f>
        <v>1542350</v>
      </c>
      <c r="C1087" s="3">
        <f t="shared" si="31"/>
        <v>-1541268</v>
      </c>
      <c r="E1087" s="2" t="b">
        <f t="shared" ca="1" si="30"/>
        <v>1</v>
      </c>
      <c r="F1087" s="2" cm="1">
        <f t="array" aca="1" ref="F1087" ca="1">IF(G1087&lt;&gt;"",INDIRECT("'"&amp;G1087&amp;"'!"&amp;H1087),"")</f>
        <v>1542350</v>
      </c>
      <c r="G1087" s="1582" t="s">
        <v>6960</v>
      </c>
      <c r="H1087" s="2" t="s">
        <v>4796</v>
      </c>
    </row>
    <row r="1088" spans="1:11" x14ac:dyDescent="0.2">
      <c r="A1088">
        <v>1083</v>
      </c>
      <c r="B1088" s="7">
        <f>'EstExp 12-20'!K77</f>
        <v>0</v>
      </c>
      <c r="C1088" s="3">
        <f t="shared" si="31"/>
        <v>1083</v>
      </c>
      <c r="E1088" s="2" t="b">
        <f t="shared" ca="1" si="30"/>
        <v>1</v>
      </c>
      <c r="F1088" s="2" cm="1">
        <f t="array" aca="1" ref="F1088" ca="1">IF(G1088&lt;&gt;"",INDIRECT("'"&amp;G1088&amp;"'!"&amp;H1088),"")</f>
        <v>0</v>
      </c>
      <c r="G1088" s="1582" t="s">
        <v>6960</v>
      </c>
      <c r="H1088" s="2" t="s">
        <v>4797</v>
      </c>
    </row>
    <row r="1089" spans="1:11" x14ac:dyDescent="0.2">
      <c r="A1089">
        <v>1084</v>
      </c>
      <c r="B1089" s="7">
        <f>'EstExp 12-20'!K104</f>
        <v>752800</v>
      </c>
      <c r="C1089" s="3">
        <f t="shared" si="31"/>
        <v>-751716</v>
      </c>
      <c r="E1089" s="2" t="b">
        <f t="shared" ca="1" si="30"/>
        <v>1</v>
      </c>
      <c r="F1089" s="2" cm="1">
        <f t="array" aca="1" ref="F1089" ca="1">IF(G1089&lt;&gt;"",INDIRECT("'"&amp;G1089&amp;"'!"&amp;H1089),"")</f>
        <v>752800</v>
      </c>
      <c r="G1089" s="1582" t="s">
        <v>6960</v>
      </c>
      <c r="H1089" s="2" t="s">
        <v>4798</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6960</v>
      </c>
      <c r="H1090" s="2" t="s">
        <v>4799</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6960</v>
      </c>
      <c r="H1091" s="2" t="s">
        <v>4800</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6960</v>
      </c>
      <c r="H1093" s="2" t="s">
        <v>4801</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6960</v>
      </c>
      <c r="H1095" s="2" t="s">
        <v>4802</v>
      </c>
    </row>
    <row r="1096" spans="1:11" x14ac:dyDescent="0.2">
      <c r="A1096">
        <v>1091</v>
      </c>
      <c r="B1096" s="7">
        <f>'EstExp 12-20'!K116</f>
        <v>5486500</v>
      </c>
      <c r="C1096" s="3">
        <f t="shared" ref="C1096:C1097" si="33">A1096-B1096</f>
        <v>-5485409</v>
      </c>
      <c r="E1096" s="2" t="b">
        <f t="shared" ca="1" si="32"/>
        <v>1</v>
      </c>
      <c r="F1096" s="2" cm="1">
        <f t="array" aca="1" ref="F1096" ca="1">IF(G1096&lt;&gt;"",INDIRECT("'"&amp;G1096&amp;"'!"&amp;H1096),"")</f>
        <v>5486500</v>
      </c>
      <c r="G1096" s="1582" t="s">
        <v>6960</v>
      </c>
      <c r="H1096" s="2" t="s">
        <v>4803</v>
      </c>
    </row>
    <row r="1097" spans="1:11" x14ac:dyDescent="0.2">
      <c r="A1097">
        <v>1092</v>
      </c>
      <c r="B1097" s="7">
        <f>'EstExp 12-20'!K118</f>
        <v>0</v>
      </c>
      <c r="C1097" s="3">
        <f t="shared" si="33"/>
        <v>1092</v>
      </c>
      <c r="E1097" s="2" t="b">
        <f t="shared" ca="1" si="32"/>
        <v>1</v>
      </c>
      <c r="F1097" s="2" cm="1">
        <f t="array" aca="1" ref="F1097" ca="1">IF(G1097&lt;&gt;"",INDIRECT("'"&amp;G1097&amp;"'!"&amp;H1097),"")</f>
        <v>0</v>
      </c>
      <c r="G1097" s="1582" t="s">
        <v>6960</v>
      </c>
      <c r="H1097" s="2" t="s">
        <v>4804</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6960</v>
      </c>
      <c r="H1163" s="2" t="s">
        <v>4805</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6960</v>
      </c>
      <c r="H1164" s="2" t="s">
        <v>4806</v>
      </c>
    </row>
    <row r="1165" spans="1:11" x14ac:dyDescent="0.2">
      <c r="A1165">
        <v>1160</v>
      </c>
      <c r="B1165" s="7">
        <f>'EstExp 12-20'!C128</f>
        <v>220000</v>
      </c>
      <c r="C1165" s="3">
        <f t="shared" si="35"/>
        <v>-218840</v>
      </c>
      <c r="E1165" s="2" t="b">
        <f t="shared" ca="1" si="34"/>
        <v>1</v>
      </c>
      <c r="F1165" s="2" cm="1">
        <f t="array" aca="1" ref="F1165" ca="1">IF(G1165&lt;&gt;"",INDIRECT("'"&amp;G1165&amp;"'!"&amp;H1165),"")</f>
        <v>220000</v>
      </c>
      <c r="G1165" s="1582" t="s">
        <v>6960</v>
      </c>
      <c r="H1165" s="2" t="s">
        <v>4807</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220000</v>
      </c>
      <c r="C1167" s="3">
        <f t="shared" si="35"/>
        <v>-218838</v>
      </c>
      <c r="E1167" s="2" t="b">
        <f t="shared" ca="1" si="34"/>
        <v>1</v>
      </c>
      <c r="F1167" s="2" cm="1">
        <f t="array" aca="1" ref="F1167" ca="1">IF(G1167&lt;&gt;"",INDIRECT("'"&amp;G1167&amp;"'!"&amp;H1167),"")</f>
        <v>220000</v>
      </c>
      <c r="G1167" s="1582" t="s">
        <v>6960</v>
      </c>
      <c r="H1167" s="2" t="s">
        <v>4808</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6960</v>
      </c>
      <c r="H1168" s="2" t="s">
        <v>4809</v>
      </c>
    </row>
    <row r="1169" spans="1:11" x14ac:dyDescent="0.2">
      <c r="A1169">
        <v>1164</v>
      </c>
      <c r="B1169" s="7">
        <f>'EstExp 12-20'!C133</f>
        <v>220000</v>
      </c>
      <c r="C1169" s="3">
        <f t="shared" si="35"/>
        <v>-218836</v>
      </c>
      <c r="E1169" s="2" t="b">
        <f t="shared" ca="1" si="34"/>
        <v>1</v>
      </c>
      <c r="F1169" s="2" cm="1">
        <f t="array" aca="1" ref="F1169" ca="1">IF(G1169&lt;&gt;"",INDIRECT("'"&amp;G1169&amp;"'!"&amp;H1169),"")</f>
        <v>220000</v>
      </c>
      <c r="G1169" s="1582" t="s">
        <v>6960</v>
      </c>
      <c r="H1169" s="2" t="s">
        <v>4810</v>
      </c>
    </row>
    <row r="1170" spans="1:11" x14ac:dyDescent="0.2">
      <c r="A1170">
        <v>1165</v>
      </c>
      <c r="B1170" s="7">
        <f>'EstExp 12-20'!C155</f>
        <v>220000</v>
      </c>
      <c r="C1170" s="3">
        <f t="shared" si="35"/>
        <v>-218835</v>
      </c>
      <c r="E1170" s="2" t="b">
        <f t="shared" ca="1" si="34"/>
        <v>1</v>
      </c>
      <c r="F1170" s="2" cm="1">
        <f t="array" aca="1" ref="F1170" ca="1">IF(G1170&lt;&gt;"",INDIRECT("'"&amp;G1170&amp;"'!"&amp;H1170),"")</f>
        <v>220000</v>
      </c>
      <c r="G1170" s="1582" t="s">
        <v>6960</v>
      </c>
      <c r="H1170" s="2" t="s">
        <v>4811</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6960</v>
      </c>
      <c r="H1171" s="2" t="s">
        <v>4812</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6960</v>
      </c>
      <c r="H1172" s="2" t="s">
        <v>4813</v>
      </c>
    </row>
    <row r="1173" spans="1:11" x14ac:dyDescent="0.2">
      <c r="A1173">
        <v>1168</v>
      </c>
      <c r="B1173" s="7">
        <f>'EstExp 12-20'!D128</f>
        <v>18200</v>
      </c>
      <c r="C1173" s="3">
        <f t="shared" si="35"/>
        <v>-17032</v>
      </c>
      <c r="E1173" s="2" t="b">
        <f t="shared" ca="1" si="34"/>
        <v>1</v>
      </c>
      <c r="F1173" s="2" cm="1">
        <f t="array" aca="1" ref="F1173" ca="1">IF(G1173&lt;&gt;"",INDIRECT("'"&amp;G1173&amp;"'!"&amp;H1173),"")</f>
        <v>18200</v>
      </c>
      <c r="G1173" s="1582" t="s">
        <v>6960</v>
      </c>
      <c r="H1173" s="2" t="s">
        <v>4814</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18200</v>
      </c>
      <c r="C1175" s="3">
        <f t="shared" si="35"/>
        <v>-17030</v>
      </c>
      <c r="E1175" s="2" t="b">
        <f t="shared" ca="1" si="34"/>
        <v>1</v>
      </c>
      <c r="F1175" s="2" cm="1">
        <f t="array" aca="1" ref="F1175" ca="1">IF(G1175&lt;&gt;"",INDIRECT("'"&amp;G1175&amp;"'!"&amp;H1175),"")</f>
        <v>18200</v>
      </c>
      <c r="G1175" s="1582" t="s">
        <v>6960</v>
      </c>
      <c r="H1175" s="2" t="s">
        <v>4815</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6960</v>
      </c>
      <c r="H1176" s="2" t="s">
        <v>4816</v>
      </c>
    </row>
    <row r="1177" spans="1:11" x14ac:dyDescent="0.2">
      <c r="A1177">
        <v>1172</v>
      </c>
      <c r="B1177" s="7">
        <f>'EstExp 12-20'!D133</f>
        <v>18200</v>
      </c>
      <c r="C1177" s="3">
        <f t="shared" si="35"/>
        <v>-17028</v>
      </c>
      <c r="E1177" s="2" t="b">
        <f t="shared" ca="1" si="34"/>
        <v>1</v>
      </c>
      <c r="F1177" s="2" cm="1">
        <f t="array" aca="1" ref="F1177" ca="1">IF(G1177&lt;&gt;"",INDIRECT("'"&amp;G1177&amp;"'!"&amp;H1177),"")</f>
        <v>18200</v>
      </c>
      <c r="G1177" s="1582" t="s">
        <v>6960</v>
      </c>
      <c r="H1177" s="2" t="s">
        <v>4817</v>
      </c>
    </row>
    <row r="1178" spans="1:11" x14ac:dyDescent="0.2">
      <c r="A1178">
        <v>1173</v>
      </c>
      <c r="B1178" s="7">
        <f>'EstExp 12-20'!D155</f>
        <v>18200</v>
      </c>
      <c r="C1178" s="3">
        <f t="shared" si="35"/>
        <v>-17027</v>
      </c>
      <c r="E1178" s="2" t="b">
        <f t="shared" ca="1" si="34"/>
        <v>1</v>
      </c>
      <c r="F1178" s="2" cm="1">
        <f t="array" aca="1" ref="F1178" ca="1">IF(G1178&lt;&gt;"",INDIRECT("'"&amp;G1178&amp;"'!"&amp;H1178),"")</f>
        <v>18200</v>
      </c>
      <c r="G1178" s="1582" t="s">
        <v>6960</v>
      </c>
      <c r="H1178" s="2" t="s">
        <v>4818</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6960</v>
      </c>
      <c r="H1179" s="2" t="s">
        <v>4819</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6960</v>
      </c>
      <c r="H1180" s="2" t="s">
        <v>4820</v>
      </c>
    </row>
    <row r="1181" spans="1:11" x14ac:dyDescent="0.2">
      <c r="A1181">
        <v>1176</v>
      </c>
      <c r="B1181" s="7">
        <f>'EstExp 12-20'!E128</f>
        <v>174281</v>
      </c>
      <c r="C1181" s="3">
        <f t="shared" si="35"/>
        <v>-173105</v>
      </c>
      <c r="E1181" s="2" t="b">
        <f t="shared" ca="1" si="34"/>
        <v>1</v>
      </c>
      <c r="F1181" s="2" cm="1">
        <f t="array" aca="1" ref="F1181" ca="1">IF(G1181&lt;&gt;"",INDIRECT("'"&amp;G1181&amp;"'!"&amp;H1181),"")</f>
        <v>174281</v>
      </c>
      <c r="G1181" s="1582" t="s">
        <v>6960</v>
      </c>
      <c r="H1181" s="2" t="s">
        <v>4821</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174281</v>
      </c>
      <c r="C1183" s="3">
        <f t="shared" si="35"/>
        <v>-173103</v>
      </c>
      <c r="E1183" s="2" t="b">
        <f t="shared" ca="1" si="34"/>
        <v>1</v>
      </c>
      <c r="F1183" s="2" cm="1">
        <f t="array" aca="1" ref="F1183" ca="1">IF(G1183&lt;&gt;"",INDIRECT("'"&amp;G1183&amp;"'!"&amp;H1183),"")</f>
        <v>174281</v>
      </c>
      <c r="G1183" s="1582" t="s">
        <v>6960</v>
      </c>
      <c r="H1183" s="2" t="s">
        <v>4822</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6960</v>
      </c>
      <c r="H1184" s="2" t="s">
        <v>4823</v>
      </c>
    </row>
    <row r="1185" spans="1:11" x14ac:dyDescent="0.2">
      <c r="A1185">
        <v>1180</v>
      </c>
      <c r="B1185" s="7">
        <f>'EstExp 12-20'!E133</f>
        <v>174281</v>
      </c>
      <c r="C1185" s="3">
        <f t="shared" si="35"/>
        <v>-173101</v>
      </c>
      <c r="E1185" s="2" t="b">
        <f t="shared" ca="1" si="34"/>
        <v>1</v>
      </c>
      <c r="F1185" s="2" cm="1">
        <f t="array" aca="1" ref="F1185" ca="1">IF(G1185&lt;&gt;"",INDIRECT("'"&amp;G1185&amp;"'!"&amp;H1185),"")</f>
        <v>174281</v>
      </c>
      <c r="G1185" s="1582" t="s">
        <v>6960</v>
      </c>
      <c r="H1185" s="2" t="s">
        <v>4824</v>
      </c>
    </row>
    <row r="1186" spans="1:11" x14ac:dyDescent="0.2">
      <c r="A1186">
        <v>1181</v>
      </c>
      <c r="B1186" s="7">
        <f>'EstExp 12-20'!E155</f>
        <v>174281</v>
      </c>
      <c r="C1186" s="3">
        <f t="shared" si="35"/>
        <v>-173100</v>
      </c>
      <c r="E1186" s="2" t="b">
        <f t="shared" ca="1" si="34"/>
        <v>1</v>
      </c>
      <c r="F1186" s="2" cm="1">
        <f t="array" aca="1" ref="F1186" ca="1">IF(G1186&lt;&gt;"",INDIRECT("'"&amp;G1186&amp;"'!"&amp;H1186),"")</f>
        <v>174281</v>
      </c>
      <c r="G1186" s="1582" t="s">
        <v>6960</v>
      </c>
      <c r="H1186" s="2" t="s">
        <v>4825</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6960</v>
      </c>
      <c r="H1187" s="2" t="s">
        <v>4826</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6960</v>
      </c>
      <c r="H1188" s="2" t="s">
        <v>4827</v>
      </c>
    </row>
    <row r="1189" spans="1:11" x14ac:dyDescent="0.2">
      <c r="A1189">
        <v>1184</v>
      </c>
      <c r="B1189" s="7">
        <f>'EstExp 12-20'!F128</f>
        <v>158200</v>
      </c>
      <c r="C1189" s="3">
        <f t="shared" si="35"/>
        <v>-157016</v>
      </c>
      <c r="E1189" s="2" t="b">
        <f t="shared" ca="1" si="34"/>
        <v>1</v>
      </c>
      <c r="F1189" s="2" cm="1">
        <f t="array" aca="1" ref="F1189" ca="1">IF(G1189&lt;&gt;"",INDIRECT("'"&amp;G1189&amp;"'!"&amp;H1189),"")</f>
        <v>158200</v>
      </c>
      <c r="G1189" s="1582" t="s">
        <v>6960</v>
      </c>
      <c r="H1189" s="2" t="s">
        <v>4828</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158200</v>
      </c>
      <c r="C1191" s="3">
        <f t="shared" si="35"/>
        <v>-157014</v>
      </c>
      <c r="E1191" s="2" t="b">
        <f t="shared" ca="1" si="34"/>
        <v>1</v>
      </c>
      <c r="F1191" s="2" cm="1">
        <f t="array" aca="1" ref="F1191" ca="1">IF(G1191&lt;&gt;"",INDIRECT("'"&amp;G1191&amp;"'!"&amp;H1191),"")</f>
        <v>158200</v>
      </c>
      <c r="G1191" s="1582" t="s">
        <v>6960</v>
      </c>
      <c r="H1191" s="2" t="s">
        <v>4829</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6960</v>
      </c>
      <c r="H1192" s="2" t="s">
        <v>4830</v>
      </c>
    </row>
    <row r="1193" spans="1:11" x14ac:dyDescent="0.2">
      <c r="A1193">
        <v>1188</v>
      </c>
      <c r="B1193" s="7">
        <f>'EstExp 12-20'!F133</f>
        <v>158200</v>
      </c>
      <c r="C1193" s="3">
        <f t="shared" si="35"/>
        <v>-157012</v>
      </c>
      <c r="E1193" s="2" t="b">
        <f t="shared" ca="1" si="34"/>
        <v>1</v>
      </c>
      <c r="F1193" s="2" cm="1">
        <f t="array" aca="1" ref="F1193" ca="1">IF(G1193&lt;&gt;"",INDIRECT("'"&amp;G1193&amp;"'!"&amp;H1193),"")</f>
        <v>158200</v>
      </c>
      <c r="G1193" s="1582" t="s">
        <v>6960</v>
      </c>
      <c r="H1193" s="2" t="s">
        <v>4831</v>
      </c>
    </row>
    <row r="1194" spans="1:11" x14ac:dyDescent="0.2">
      <c r="A1194">
        <v>1189</v>
      </c>
      <c r="B1194" s="7">
        <f>'EstExp 12-20'!F155</f>
        <v>158200</v>
      </c>
      <c r="C1194" s="3">
        <f t="shared" si="35"/>
        <v>-157011</v>
      </c>
      <c r="E1194" s="2" t="b">
        <f t="shared" ca="1" si="34"/>
        <v>1</v>
      </c>
      <c r="F1194" s="2" cm="1">
        <f t="array" aca="1" ref="F1194" ca="1">IF(G1194&lt;&gt;"",INDIRECT("'"&amp;G1194&amp;"'!"&amp;H1194),"")</f>
        <v>158200</v>
      </c>
      <c r="G1194" s="1582" t="s">
        <v>6960</v>
      </c>
      <c r="H1194" s="2" t="s">
        <v>4832</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6960</v>
      </c>
      <c r="H1195" s="2" t="s">
        <v>4833</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6960</v>
      </c>
      <c r="H1196" s="2" t="s">
        <v>4834</v>
      </c>
    </row>
    <row r="1197" spans="1:11" x14ac:dyDescent="0.2">
      <c r="A1197">
        <v>1192</v>
      </c>
      <c r="B1197" s="7">
        <f>'EstExp 12-20'!G128</f>
        <v>80000</v>
      </c>
      <c r="C1197" s="3">
        <f t="shared" si="35"/>
        <v>-78808</v>
      </c>
      <c r="E1197" s="2" t="b">
        <f t="shared" ca="1" si="34"/>
        <v>1</v>
      </c>
      <c r="F1197" s="2" cm="1">
        <f t="array" aca="1" ref="F1197" ca="1">IF(G1197&lt;&gt;"",INDIRECT("'"&amp;G1197&amp;"'!"&amp;H1197),"")</f>
        <v>80000</v>
      </c>
      <c r="G1197" s="1582" t="s">
        <v>6960</v>
      </c>
      <c r="H1197" s="2" t="s">
        <v>4835</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6960</v>
      </c>
      <c r="H1198" s="2" t="s">
        <v>4836</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80000</v>
      </c>
      <c r="C1200" s="3">
        <f t="shared" si="35"/>
        <v>-78805</v>
      </c>
      <c r="E1200" s="2" t="b">
        <f t="shared" ca="1" si="34"/>
        <v>1</v>
      </c>
      <c r="F1200" s="2" cm="1">
        <f t="array" aca="1" ref="F1200" ca="1">IF(G1200&lt;&gt;"",INDIRECT("'"&amp;G1200&amp;"'!"&amp;H1200),"")</f>
        <v>80000</v>
      </c>
      <c r="G1200" s="1582" t="s">
        <v>6960</v>
      </c>
      <c r="H1200" s="2" t="s">
        <v>4837</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6960</v>
      </c>
      <c r="H1201" s="2" t="s">
        <v>4838</v>
      </c>
    </row>
    <row r="1202" spans="1:11" x14ac:dyDescent="0.2">
      <c r="A1202">
        <v>1197</v>
      </c>
      <c r="B1202" s="7">
        <f>'EstExp 12-20'!G133</f>
        <v>80000</v>
      </c>
      <c r="C1202" s="3">
        <f t="shared" si="35"/>
        <v>-78803</v>
      </c>
      <c r="E1202" s="2" t="b">
        <f t="shared" ca="1" si="34"/>
        <v>1</v>
      </c>
      <c r="F1202" s="2" cm="1">
        <f t="array" aca="1" ref="F1202" ca="1">IF(G1202&lt;&gt;"",INDIRECT("'"&amp;G1202&amp;"'!"&amp;H1202),"")</f>
        <v>80000</v>
      </c>
      <c r="G1202" s="1582" t="s">
        <v>6960</v>
      </c>
      <c r="H1202" s="2" t="s">
        <v>4839</v>
      </c>
    </row>
    <row r="1203" spans="1:11" x14ac:dyDescent="0.2">
      <c r="A1203">
        <v>1198</v>
      </c>
      <c r="B1203" s="7">
        <f>'EstExp 12-20'!G155</f>
        <v>80000</v>
      </c>
      <c r="C1203" s="3">
        <f t="shared" si="35"/>
        <v>-78802</v>
      </c>
      <c r="E1203" s="2" t="b">
        <f t="shared" ca="1" si="34"/>
        <v>1</v>
      </c>
      <c r="F1203" s="2" cm="1">
        <f t="array" aca="1" ref="F1203" ca="1">IF(G1203&lt;&gt;"",INDIRECT("'"&amp;G1203&amp;"'!"&amp;H1203),"")</f>
        <v>80000</v>
      </c>
      <c r="G1203" s="1582" t="s">
        <v>6960</v>
      </c>
      <c r="H1203" s="2" t="s">
        <v>4840</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6960</v>
      </c>
      <c r="H1204" s="2" t="s">
        <v>4841</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6960</v>
      </c>
      <c r="H1205" s="2" t="s">
        <v>4842</v>
      </c>
    </row>
    <row r="1206" spans="1:11" x14ac:dyDescent="0.2">
      <c r="A1206">
        <v>1201</v>
      </c>
      <c r="B1206" s="7">
        <f>'EstExp 12-20'!H128</f>
        <v>100</v>
      </c>
      <c r="C1206" s="3">
        <f t="shared" si="35"/>
        <v>1101</v>
      </c>
      <c r="E1206" s="2" t="b">
        <f t="shared" ca="1" si="34"/>
        <v>1</v>
      </c>
      <c r="F1206" s="2" cm="1">
        <f t="array" aca="1" ref="F1206" ca="1">IF(G1206&lt;&gt;"",INDIRECT("'"&amp;G1206&amp;"'!"&amp;H1206),"")</f>
        <v>100</v>
      </c>
      <c r="G1206" s="1582" t="s">
        <v>6960</v>
      </c>
      <c r="H1206" s="2" t="s">
        <v>4843</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100</v>
      </c>
      <c r="C1208" s="3">
        <f t="shared" si="35"/>
        <v>1103</v>
      </c>
      <c r="E1208" s="2" t="b">
        <f t="shared" ca="1" si="34"/>
        <v>1</v>
      </c>
      <c r="F1208" s="2" cm="1">
        <f t="array" aca="1" ref="F1208" ca="1">IF(G1208&lt;&gt;"",INDIRECT("'"&amp;G1208&amp;"'!"&amp;H1208),"")</f>
        <v>100</v>
      </c>
      <c r="G1208" s="1582" t="s">
        <v>6960</v>
      </c>
      <c r="H1208" s="2" t="s">
        <v>4844</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6960</v>
      </c>
      <c r="H1209" s="2" t="s">
        <v>4845</v>
      </c>
    </row>
    <row r="1210" spans="1:11" x14ac:dyDescent="0.2">
      <c r="A1210">
        <v>1205</v>
      </c>
      <c r="B1210" s="7">
        <f>'EstExp 12-20'!H133</f>
        <v>100</v>
      </c>
      <c r="C1210" s="3">
        <f t="shared" si="35"/>
        <v>1105</v>
      </c>
      <c r="E1210" s="2" t="b">
        <f t="shared" ca="1" si="34"/>
        <v>1</v>
      </c>
      <c r="F1210" s="2" cm="1">
        <f t="array" aca="1" ref="F1210" ca="1">IF(G1210&lt;&gt;"",INDIRECT("'"&amp;G1210&amp;"'!"&amp;H1210),"")</f>
        <v>100</v>
      </c>
      <c r="G1210" s="1582" t="s">
        <v>6960</v>
      </c>
      <c r="H1210" s="2" t="s">
        <v>4846</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6960</v>
      </c>
      <c r="H1211" s="2" t="s">
        <v>4847</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6960</v>
      </c>
      <c r="H1212" s="2" t="s">
        <v>4848</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6960</v>
      </c>
      <c r="H1213" s="2" t="s">
        <v>4849</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6960</v>
      </c>
      <c r="H1214" s="2" t="s">
        <v>4850</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6960</v>
      </c>
      <c r="H1216" s="2" t="s">
        <v>4851</v>
      </c>
    </row>
    <row r="1217" spans="1:11" x14ac:dyDescent="0.2">
      <c r="A1217">
        <v>1212</v>
      </c>
      <c r="B1217" s="7">
        <f>'EstExp 12-20'!H155</f>
        <v>100</v>
      </c>
      <c r="C1217" s="3">
        <f t="shared" si="35"/>
        <v>1112</v>
      </c>
      <c r="E1217" s="2" t="b">
        <f t="shared" ca="1" si="34"/>
        <v>1</v>
      </c>
      <c r="F1217" s="2" cm="1">
        <f t="array" aca="1" ref="F1217" ca="1">IF(G1217&lt;&gt;"",INDIRECT("'"&amp;G1217&amp;"'!"&amp;H1217),"")</f>
        <v>100</v>
      </c>
      <c r="G1217" s="1582" t="s">
        <v>6960</v>
      </c>
      <c r="H1217" s="2" t="s">
        <v>4852</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6960</v>
      </c>
      <c r="H1218" s="2" t="s">
        <v>4853</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6960</v>
      </c>
      <c r="H1219" s="2" t="s">
        <v>4854</v>
      </c>
    </row>
    <row r="1220" spans="1:11" x14ac:dyDescent="0.2">
      <c r="A1220">
        <v>1215</v>
      </c>
      <c r="B1220" s="7">
        <f>'EstExp 12-20'!K128</f>
        <v>650781</v>
      </c>
      <c r="C1220" s="3">
        <f t="shared" si="35"/>
        <v>-649566</v>
      </c>
      <c r="E1220" s="2" t="b">
        <f t="shared" ca="1" si="36"/>
        <v>1</v>
      </c>
      <c r="F1220" s="2" cm="1">
        <f t="array" aca="1" ref="F1220" ca="1">IF(G1220&lt;&gt;"",INDIRECT("'"&amp;G1220&amp;"'!"&amp;H1220),"")</f>
        <v>650781</v>
      </c>
      <c r="G1220" s="1582" t="s">
        <v>6960</v>
      </c>
      <c r="H1220" s="2" t="s">
        <v>4855</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6960</v>
      </c>
      <c r="H1221" s="2" t="s">
        <v>4856</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650781</v>
      </c>
      <c r="C1223" s="3">
        <f t="shared" si="35"/>
        <v>-649563</v>
      </c>
      <c r="E1223" s="2" t="b">
        <f t="shared" ca="1" si="36"/>
        <v>1</v>
      </c>
      <c r="F1223" s="2" cm="1">
        <f t="array" aca="1" ref="F1223" ca="1">IF(G1223&lt;&gt;"",INDIRECT("'"&amp;G1223&amp;"'!"&amp;H1223),"")</f>
        <v>650781</v>
      </c>
      <c r="G1223" s="1582" t="s">
        <v>6960</v>
      </c>
      <c r="H1223" s="2" t="s">
        <v>4857</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6960</v>
      </c>
      <c r="H1224" s="2" t="s">
        <v>4858</v>
      </c>
    </row>
    <row r="1225" spans="1:11" x14ac:dyDescent="0.2">
      <c r="A1225">
        <v>1220</v>
      </c>
      <c r="B1225" s="7">
        <f>'EstExp 12-20'!K133</f>
        <v>650781</v>
      </c>
      <c r="C1225" s="3">
        <f t="shared" si="37"/>
        <v>-649561</v>
      </c>
      <c r="E1225" s="2" t="b">
        <f t="shared" ca="1" si="36"/>
        <v>1</v>
      </c>
      <c r="F1225" s="2" cm="1">
        <f t="array" aca="1" ref="F1225" ca="1">IF(G1225&lt;&gt;"",INDIRECT("'"&amp;G1225&amp;"'!"&amp;H1225),"")</f>
        <v>650781</v>
      </c>
      <c r="G1225" s="1582" t="s">
        <v>6960</v>
      </c>
      <c r="H1225" s="2" t="s">
        <v>4859</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6960</v>
      </c>
      <c r="H1226" s="2" t="s">
        <v>4860</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6960</v>
      </c>
      <c r="H1227" s="2" t="s">
        <v>4861</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6960</v>
      </c>
      <c r="H1228" s="2" t="s">
        <v>4862</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6960</v>
      </c>
      <c r="H1229" s="2" t="s">
        <v>4863</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6960</v>
      </c>
      <c r="H1231" s="2" t="s">
        <v>4864</v>
      </c>
    </row>
    <row r="1232" spans="1:11" x14ac:dyDescent="0.2">
      <c r="A1232">
        <v>1227</v>
      </c>
      <c r="B1232" s="7">
        <f>'EstExp 12-20'!K155</f>
        <v>650781</v>
      </c>
      <c r="C1232" s="3">
        <f t="shared" si="37"/>
        <v>-649554</v>
      </c>
      <c r="E1232" s="2" t="b">
        <f t="shared" ca="1" si="36"/>
        <v>1</v>
      </c>
      <c r="F1232" s="2" cm="1">
        <f t="array" aca="1" ref="F1232" ca="1">IF(G1232&lt;&gt;"",INDIRECT("'"&amp;G1232&amp;"'!"&amp;H1232),"")</f>
        <v>650781</v>
      </c>
      <c r="G1232" s="1582" t="s">
        <v>6960</v>
      </c>
      <c r="H1232" s="2" t="s">
        <v>4865</v>
      </c>
    </row>
    <row r="1233" spans="1:11" x14ac:dyDescent="0.2">
      <c r="A1233">
        <v>1228</v>
      </c>
      <c r="B1233" s="7">
        <f>'EstExp 12-20'!K156</f>
        <v>0</v>
      </c>
      <c r="C1233" s="3">
        <f t="shared" si="37"/>
        <v>1228</v>
      </c>
      <c r="E1233" s="2" t="b">
        <f t="shared" ca="1" si="36"/>
        <v>1</v>
      </c>
      <c r="F1233" s="2" cm="1">
        <f t="array" aca="1" ref="F1233" ca="1">IF(G1233&lt;&gt;"",INDIRECT("'"&amp;G1233&amp;"'!"&amp;H1233),"")</f>
        <v>0</v>
      </c>
      <c r="G1233" s="1582" t="s">
        <v>6960</v>
      </c>
      <c r="H1233" s="2" t="s">
        <v>4866</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6960</v>
      </c>
      <c r="H1251" s="2" t="s">
        <v>4867</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6960</v>
      </c>
      <c r="H1252" s="2" t="s">
        <v>4868</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6960</v>
      </c>
      <c r="H1253" s="2" t="s">
        <v>4869</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6960</v>
      </c>
      <c r="H1254" s="2" t="s">
        <v>4870</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6960</v>
      </c>
      <c r="H1255" s="2" t="s">
        <v>4871</v>
      </c>
    </row>
    <row r="1256" spans="1:11" x14ac:dyDescent="0.2">
      <c r="A1256">
        <v>1251</v>
      </c>
      <c r="B1256" s="7">
        <f>'EstExp 12-20'!H173</f>
        <v>0</v>
      </c>
      <c r="C1256" s="3">
        <f t="shared" si="37"/>
        <v>1251</v>
      </c>
      <c r="E1256" s="2" t="b">
        <f t="shared" ca="1" si="36"/>
        <v>1</v>
      </c>
      <c r="F1256" s="2" cm="1">
        <f t="array" aca="1" ref="F1256" ca="1">IF(G1256&lt;&gt;"",INDIRECT("'"&amp;G1256&amp;"'!"&amp;H1256),"")</f>
        <v>0</v>
      </c>
      <c r="G1256" s="1582" t="s">
        <v>6960</v>
      </c>
      <c r="H1256" s="2" t="s">
        <v>4872</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6960</v>
      </c>
      <c r="H1257" s="2" t="s">
        <v>4873</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6960</v>
      </c>
      <c r="H1258" s="2" t="s">
        <v>4874</v>
      </c>
    </row>
    <row r="1259" spans="1:11" x14ac:dyDescent="0.2">
      <c r="A1259">
        <v>1254</v>
      </c>
      <c r="B1259" s="7">
        <f>'EstExp 12-20'!H174</f>
        <v>0</v>
      </c>
      <c r="C1259" s="3">
        <f t="shared" si="37"/>
        <v>1254</v>
      </c>
      <c r="E1259" s="2" t="b">
        <f t="shared" ca="1" si="36"/>
        <v>1</v>
      </c>
      <c r="F1259" s="2" cm="1">
        <f t="array" aca="1" ref="F1259" ca="1">IF(G1259&lt;&gt;"",INDIRECT("'"&amp;G1259&amp;"'!"&amp;H1259),"")</f>
        <v>0</v>
      </c>
      <c r="G1259" s="1582" t="s">
        <v>6960</v>
      </c>
      <c r="H1259" s="2" t="s">
        <v>4875</v>
      </c>
    </row>
    <row r="1260" spans="1:11" x14ac:dyDescent="0.2">
      <c r="A1260">
        <v>1255</v>
      </c>
      <c r="B1260" s="7">
        <f>'EstExp 12-20'!H175</f>
        <v>0</v>
      </c>
      <c r="C1260" s="3">
        <f t="shared" si="37"/>
        <v>1255</v>
      </c>
      <c r="E1260" s="2" t="b">
        <f t="shared" ca="1" si="36"/>
        <v>1</v>
      </c>
      <c r="F1260" s="2" cm="1">
        <f t="array" aca="1" ref="F1260" ca="1">IF(G1260&lt;&gt;"",INDIRECT("'"&amp;G1260&amp;"'!"&amp;H1260),"")</f>
        <v>0</v>
      </c>
      <c r="G1260" s="1582" t="s">
        <v>6960</v>
      </c>
      <c r="H1260" s="2" t="s">
        <v>4876</v>
      </c>
    </row>
    <row r="1261" spans="1:11" x14ac:dyDescent="0.2">
      <c r="A1261">
        <v>1256</v>
      </c>
      <c r="B1261" s="7">
        <f>'EstExp 12-20'!H176</f>
        <v>0</v>
      </c>
      <c r="C1261" s="3">
        <f t="shared" si="37"/>
        <v>1256</v>
      </c>
      <c r="E1261" s="2" t="b">
        <f t="shared" ca="1" si="36"/>
        <v>1</v>
      </c>
      <c r="F1261" s="2" cm="1">
        <f t="array" aca="1" ref="F1261" ca="1">IF(G1261&lt;&gt;"",INDIRECT("'"&amp;G1261&amp;"'!"&amp;H1261),"")</f>
        <v>0</v>
      </c>
      <c r="G1261" s="1582" t="s">
        <v>6960</v>
      </c>
      <c r="H1261" s="2" t="s">
        <v>4877</v>
      </c>
    </row>
    <row r="1262" spans="1:11" x14ac:dyDescent="0.2">
      <c r="A1262">
        <v>1257</v>
      </c>
      <c r="B1262" s="7">
        <f>'EstExp 12-20'!H178</f>
        <v>0</v>
      </c>
      <c r="C1262" s="3">
        <f t="shared" si="37"/>
        <v>1257</v>
      </c>
      <c r="E1262" s="2" t="b">
        <f t="shared" ca="1" si="36"/>
        <v>1</v>
      </c>
      <c r="F1262" s="2" cm="1">
        <f t="array" aca="1" ref="F1262" ca="1">IF(G1262&lt;&gt;"",INDIRECT("'"&amp;G1262&amp;"'!"&amp;H1262),"")</f>
        <v>0</v>
      </c>
      <c r="G1262" s="1582" t="s">
        <v>6960</v>
      </c>
      <c r="H1262" s="2" t="s">
        <v>4878</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6960</v>
      </c>
      <c r="H1268" s="2" t="s">
        <v>4879</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6960</v>
      </c>
      <c r="H1269" s="2" t="s">
        <v>4880</v>
      </c>
    </row>
    <row r="1270" spans="1:11" x14ac:dyDescent="0.2">
      <c r="A1270">
        <v>1265</v>
      </c>
      <c r="B1270" s="7">
        <f>'EstExp 12-20'!K173</f>
        <v>0</v>
      </c>
      <c r="C1270" s="3">
        <f t="shared" si="37"/>
        <v>1265</v>
      </c>
      <c r="E1270" s="2" t="b">
        <f t="shared" ca="1" si="36"/>
        <v>1</v>
      </c>
      <c r="F1270" s="2" cm="1">
        <f t="array" aca="1" ref="F1270" ca="1">IF(G1270&lt;&gt;"",INDIRECT("'"&amp;G1270&amp;"'!"&amp;H1270),"")</f>
        <v>0</v>
      </c>
      <c r="G1270" s="1582" t="s">
        <v>6960</v>
      </c>
      <c r="H1270" s="2" t="s">
        <v>4881</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6960</v>
      </c>
      <c r="H1271" s="2" t="s">
        <v>4882</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6960</v>
      </c>
      <c r="H1272" s="2" t="s">
        <v>4883</v>
      </c>
    </row>
    <row r="1273" spans="1:11" x14ac:dyDescent="0.2">
      <c r="A1273">
        <v>1268</v>
      </c>
      <c r="B1273" s="7">
        <f>'EstExp 12-20'!K174</f>
        <v>0</v>
      </c>
      <c r="C1273" s="3">
        <f t="shared" si="37"/>
        <v>1268</v>
      </c>
      <c r="E1273" s="2" t="b">
        <f t="shared" ca="1" si="36"/>
        <v>1</v>
      </c>
      <c r="F1273" s="2" cm="1">
        <f t="array" aca="1" ref="F1273" ca="1">IF(G1273&lt;&gt;"",INDIRECT("'"&amp;G1273&amp;"'!"&amp;H1273),"")</f>
        <v>0</v>
      </c>
      <c r="G1273" s="1582" t="s">
        <v>6960</v>
      </c>
      <c r="H1273" s="2" t="s">
        <v>4884</v>
      </c>
    </row>
    <row r="1274" spans="1:11" x14ac:dyDescent="0.2">
      <c r="A1274">
        <v>1269</v>
      </c>
      <c r="B1274" s="7">
        <f>'EstExp 12-20'!K175</f>
        <v>0</v>
      </c>
      <c r="C1274" s="3">
        <f t="shared" si="37"/>
        <v>1269</v>
      </c>
      <c r="E1274" s="2" t="b">
        <f t="shared" ca="1" si="36"/>
        <v>1</v>
      </c>
      <c r="F1274" s="2" cm="1">
        <f t="array" aca="1" ref="F1274" ca="1">IF(G1274&lt;&gt;"",INDIRECT("'"&amp;G1274&amp;"'!"&amp;H1274),"")</f>
        <v>0</v>
      </c>
      <c r="G1274" s="1582" t="s">
        <v>6960</v>
      </c>
      <c r="H1274" s="2" t="s">
        <v>4885</v>
      </c>
    </row>
    <row r="1275" spans="1:11" x14ac:dyDescent="0.2">
      <c r="A1275">
        <v>1270</v>
      </c>
      <c r="B1275" s="7">
        <f>'EstExp 12-20'!K176</f>
        <v>0</v>
      </c>
      <c r="C1275" s="3">
        <f t="shared" si="37"/>
        <v>1270</v>
      </c>
      <c r="E1275" s="2" t="b">
        <f t="shared" ca="1" si="36"/>
        <v>1</v>
      </c>
      <c r="F1275" s="2" cm="1">
        <f t="array" aca="1" ref="F1275" ca="1">IF(G1275&lt;&gt;"",INDIRECT("'"&amp;G1275&amp;"'!"&amp;H1275),"")</f>
        <v>0</v>
      </c>
      <c r="G1275" s="1582" t="s">
        <v>6960</v>
      </c>
      <c r="H1275" s="2" t="s">
        <v>4886</v>
      </c>
    </row>
    <row r="1276" spans="1:11" x14ac:dyDescent="0.2">
      <c r="A1276">
        <v>1271</v>
      </c>
      <c r="B1276" s="7">
        <f>'EstExp 12-20'!K178</f>
        <v>0</v>
      </c>
      <c r="C1276" s="3">
        <f t="shared" si="37"/>
        <v>1271</v>
      </c>
      <c r="E1276" s="2" t="b">
        <f t="shared" ca="1" si="36"/>
        <v>1</v>
      </c>
      <c r="F1276" s="2" cm="1">
        <f t="array" aca="1" ref="F1276" ca="1">IF(G1276&lt;&gt;"",INDIRECT("'"&amp;G1276&amp;"'!"&amp;H1276),"")</f>
        <v>0</v>
      </c>
      <c r="G1276" s="1582" t="s">
        <v>6960</v>
      </c>
      <c r="H1276" s="2" t="s">
        <v>4887</v>
      </c>
    </row>
    <row r="1277" spans="1:11" x14ac:dyDescent="0.2">
      <c r="A1277">
        <v>1272</v>
      </c>
      <c r="B1277" s="7">
        <f>'EstExp 12-20'!K179</f>
        <v>0</v>
      </c>
      <c r="C1277" s="3">
        <f t="shared" si="37"/>
        <v>1272</v>
      </c>
      <c r="E1277" s="2" t="b">
        <f t="shared" ca="1" si="36"/>
        <v>1</v>
      </c>
      <c r="F1277" s="2" cm="1">
        <f t="array" aca="1" ref="F1277" ca="1">IF(G1277&lt;&gt;"",INDIRECT("'"&amp;G1277&amp;"'!"&amp;H1277),"")</f>
        <v>0</v>
      </c>
      <c r="G1277" s="1582" t="s">
        <v>6960</v>
      </c>
      <c r="H1277" s="2" t="s">
        <v>4888</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148200</v>
      </c>
      <c r="C1279" s="3">
        <f t="shared" si="37"/>
        <v>-146926</v>
      </c>
      <c r="E1279" s="2" t="b">
        <f t="shared" ca="1" si="36"/>
        <v>1</v>
      </c>
      <c r="F1279" s="2" cm="1">
        <f t="array" aca="1" ref="F1279" ca="1">IF(G1279&lt;&gt;"",INDIRECT("'"&amp;G1279&amp;"'!"&amp;H1279),"")</f>
        <v>148200</v>
      </c>
      <c r="G1279" s="1582" t="s">
        <v>6960</v>
      </c>
      <c r="H1279" s="2" t="s">
        <v>4889</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6960</v>
      </c>
      <c r="H1282" s="2" t="s">
        <v>4890</v>
      </c>
    </row>
    <row r="1283" spans="1:11" x14ac:dyDescent="0.2">
      <c r="A1283">
        <v>1278</v>
      </c>
      <c r="B1283" s="7">
        <f>'EstExp 12-20'!C188</f>
        <v>148200</v>
      </c>
      <c r="C1283" s="3">
        <f t="shared" si="37"/>
        <v>-146922</v>
      </c>
      <c r="E1283" s="2" t="b">
        <f t="shared" ca="1" si="38"/>
        <v>1</v>
      </c>
      <c r="F1283" s="2" cm="1">
        <f t="array" aca="1" ref="F1283" ca="1">IF(G1283&lt;&gt;"",INDIRECT("'"&amp;G1283&amp;"'!"&amp;H1283),"")</f>
        <v>148200</v>
      </c>
      <c r="G1283" s="1582" t="s">
        <v>6960</v>
      </c>
      <c r="H1283" s="2" t="s">
        <v>4891</v>
      </c>
    </row>
    <row r="1284" spans="1:11" x14ac:dyDescent="0.2">
      <c r="A1284">
        <v>1279</v>
      </c>
      <c r="B1284" s="7">
        <f>'EstExp 12-20'!C214</f>
        <v>148200</v>
      </c>
      <c r="C1284" s="3">
        <f t="shared" si="37"/>
        <v>-146921</v>
      </c>
      <c r="E1284" s="2" t="b">
        <f t="shared" ca="1" si="38"/>
        <v>1</v>
      </c>
      <c r="F1284" s="2" cm="1">
        <f t="array" aca="1" ref="F1284" ca="1">IF(G1284&lt;&gt;"",INDIRECT("'"&amp;G1284&amp;"'!"&amp;H1284),"")</f>
        <v>148200</v>
      </c>
      <c r="G1284" s="1582" t="s">
        <v>6960</v>
      </c>
      <c r="H1284" s="2" t="s">
        <v>4892</v>
      </c>
    </row>
    <row r="1285" spans="1:11" x14ac:dyDescent="0.2">
      <c r="A1285">
        <v>1280</v>
      </c>
      <c r="B1285" s="7">
        <f>'EstExp 12-20'!D186</f>
        <v>500</v>
      </c>
      <c r="C1285" s="3">
        <f t="shared" si="37"/>
        <v>780</v>
      </c>
      <c r="E1285" s="2" t="b">
        <f t="shared" ca="1" si="38"/>
        <v>1</v>
      </c>
      <c r="F1285" s="2" cm="1">
        <f t="array" aca="1" ref="F1285" ca="1">IF(G1285&lt;&gt;"",INDIRECT("'"&amp;G1285&amp;"'!"&amp;H1285),"")</f>
        <v>500</v>
      </c>
      <c r="G1285" s="1582" t="s">
        <v>6960</v>
      </c>
      <c r="H1285" s="2" t="s">
        <v>4893</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6960</v>
      </c>
      <c r="H1288" s="2" t="s">
        <v>4894</v>
      </c>
    </row>
    <row r="1289" spans="1:11" x14ac:dyDescent="0.2">
      <c r="A1289">
        <v>1284</v>
      </c>
      <c r="B1289" s="7">
        <f>'EstExp 12-20'!D188</f>
        <v>500</v>
      </c>
      <c r="C1289" s="3">
        <f t="shared" si="39"/>
        <v>784</v>
      </c>
      <c r="E1289" s="2" t="b">
        <f t="shared" ca="1" si="38"/>
        <v>1</v>
      </c>
      <c r="F1289" s="2" cm="1">
        <f t="array" aca="1" ref="F1289" ca="1">IF(G1289&lt;&gt;"",INDIRECT("'"&amp;G1289&amp;"'!"&amp;H1289),"")</f>
        <v>500</v>
      </c>
      <c r="G1289" s="1582" t="s">
        <v>6960</v>
      </c>
      <c r="H1289" s="2" t="s">
        <v>4895</v>
      </c>
    </row>
    <row r="1290" spans="1:11" x14ac:dyDescent="0.2">
      <c r="A1290">
        <v>1285</v>
      </c>
      <c r="B1290" s="7">
        <f>'EstExp 12-20'!D214</f>
        <v>500</v>
      </c>
      <c r="C1290" s="3">
        <f t="shared" si="39"/>
        <v>785</v>
      </c>
      <c r="E1290" s="2" t="b">
        <f t="shared" ca="1" si="38"/>
        <v>1</v>
      </c>
      <c r="F1290" s="2" cm="1">
        <f t="array" aca="1" ref="F1290" ca="1">IF(G1290&lt;&gt;"",INDIRECT("'"&amp;G1290&amp;"'!"&amp;H1290),"")</f>
        <v>500</v>
      </c>
      <c r="G1290" s="1582" t="s">
        <v>6960</v>
      </c>
      <c r="H1290" s="2" t="s">
        <v>4896</v>
      </c>
    </row>
    <row r="1291" spans="1:11" x14ac:dyDescent="0.2">
      <c r="A1291">
        <v>1286</v>
      </c>
      <c r="B1291" s="7">
        <f>'EstExp 12-20'!E186</f>
        <v>162300</v>
      </c>
      <c r="C1291" s="3">
        <f t="shared" si="39"/>
        <v>-161014</v>
      </c>
      <c r="E1291" s="2" t="b">
        <f t="shared" ca="1" si="38"/>
        <v>1</v>
      </c>
      <c r="F1291" s="2" cm="1">
        <f t="array" aca="1" ref="F1291" ca="1">IF(G1291&lt;&gt;"",INDIRECT("'"&amp;G1291&amp;"'!"&amp;H1291),"")</f>
        <v>162300</v>
      </c>
      <c r="G1291" s="1582" t="s">
        <v>6960</v>
      </c>
      <c r="H1291" s="2" t="s">
        <v>4897</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6960</v>
      </c>
      <c r="H1294" s="2" t="s">
        <v>4898</v>
      </c>
    </row>
    <row r="1295" spans="1:11" x14ac:dyDescent="0.2">
      <c r="A1295">
        <v>1290</v>
      </c>
      <c r="B1295" s="7">
        <f>'EstExp 12-20'!E188</f>
        <v>162300</v>
      </c>
      <c r="C1295" s="3">
        <f t="shared" si="39"/>
        <v>-161010</v>
      </c>
      <c r="E1295" s="2" t="b">
        <f t="shared" ca="1" si="38"/>
        <v>1</v>
      </c>
      <c r="F1295" s="2" cm="1">
        <f t="array" aca="1" ref="F1295" ca="1">IF(G1295&lt;&gt;"",INDIRECT("'"&amp;G1295&amp;"'!"&amp;H1295),"")</f>
        <v>162300</v>
      </c>
      <c r="G1295" s="1582" t="s">
        <v>6960</v>
      </c>
      <c r="H1295" s="2" t="s">
        <v>4899</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6960</v>
      </c>
      <c r="H1296" s="2" t="s">
        <v>4900</v>
      </c>
    </row>
    <row r="1297" spans="1:11" x14ac:dyDescent="0.2">
      <c r="A1297">
        <v>1292</v>
      </c>
      <c r="B1297" s="7">
        <f>'EstExp 12-20'!E214</f>
        <v>162300</v>
      </c>
      <c r="C1297" s="3">
        <f t="shared" si="39"/>
        <v>-161008</v>
      </c>
      <c r="E1297" s="2" t="b">
        <f t="shared" ca="1" si="38"/>
        <v>1</v>
      </c>
      <c r="F1297" s="2" cm="1">
        <f t="array" aca="1" ref="F1297" ca="1">IF(G1297&lt;&gt;"",INDIRECT("'"&amp;G1297&amp;"'!"&amp;H1297),"")</f>
        <v>162300</v>
      </c>
      <c r="G1297" s="1582" t="s">
        <v>6960</v>
      </c>
      <c r="H1297" s="2" t="s">
        <v>4901</v>
      </c>
    </row>
    <row r="1298" spans="1:11" x14ac:dyDescent="0.2">
      <c r="A1298">
        <v>1293</v>
      </c>
      <c r="B1298" s="7">
        <f>'EstExp 12-20'!F186</f>
        <v>42500</v>
      </c>
      <c r="C1298" s="3">
        <f t="shared" si="39"/>
        <v>-41207</v>
      </c>
      <c r="E1298" s="2" t="b">
        <f t="shared" ca="1" si="38"/>
        <v>1</v>
      </c>
      <c r="F1298" s="2" cm="1">
        <f t="array" aca="1" ref="F1298" ca="1">IF(G1298&lt;&gt;"",INDIRECT("'"&amp;G1298&amp;"'!"&amp;H1298),"")</f>
        <v>42500</v>
      </c>
      <c r="G1298" s="1582" t="s">
        <v>6960</v>
      </c>
      <c r="H1298" s="2" t="s">
        <v>4902</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6960</v>
      </c>
      <c r="H1301" s="2" t="s">
        <v>4903</v>
      </c>
    </row>
    <row r="1302" spans="1:11" x14ac:dyDescent="0.2">
      <c r="A1302">
        <v>1297</v>
      </c>
      <c r="B1302" s="7">
        <f>'EstExp 12-20'!F188</f>
        <v>42500</v>
      </c>
      <c r="C1302" s="3">
        <f t="shared" si="39"/>
        <v>-41203</v>
      </c>
      <c r="E1302" s="2" t="b">
        <f t="shared" ca="1" si="38"/>
        <v>1</v>
      </c>
      <c r="F1302" s="2" cm="1">
        <f t="array" aca="1" ref="F1302" ca="1">IF(G1302&lt;&gt;"",INDIRECT("'"&amp;G1302&amp;"'!"&amp;H1302),"")</f>
        <v>42500</v>
      </c>
      <c r="G1302" s="1582" t="s">
        <v>6960</v>
      </c>
      <c r="H1302" s="2" t="s">
        <v>4904</v>
      </c>
    </row>
    <row r="1303" spans="1:11" x14ac:dyDescent="0.2">
      <c r="A1303">
        <v>1298</v>
      </c>
      <c r="B1303" s="7">
        <f>'EstExp 12-20'!F214</f>
        <v>42500</v>
      </c>
      <c r="C1303" s="3">
        <f t="shared" si="39"/>
        <v>-41202</v>
      </c>
      <c r="E1303" s="2" t="b">
        <f t="shared" ca="1" si="38"/>
        <v>1</v>
      </c>
      <c r="F1303" s="2" cm="1">
        <f t="array" aca="1" ref="F1303" ca="1">IF(G1303&lt;&gt;"",INDIRECT("'"&amp;G1303&amp;"'!"&amp;H1303),"")</f>
        <v>42500</v>
      </c>
      <c r="G1303" s="1582" t="s">
        <v>6960</v>
      </c>
      <c r="H1303" s="2" t="s">
        <v>4905</v>
      </c>
    </row>
    <row r="1304" spans="1:11" x14ac:dyDescent="0.2">
      <c r="A1304">
        <v>1299</v>
      </c>
      <c r="B1304" s="7">
        <f>'EstExp 12-20'!G186</f>
        <v>200</v>
      </c>
      <c r="C1304" s="3">
        <f t="shared" si="39"/>
        <v>1099</v>
      </c>
      <c r="E1304" s="2" t="b">
        <f t="shared" ca="1" si="38"/>
        <v>1</v>
      </c>
      <c r="F1304" s="2" cm="1">
        <f t="array" aca="1" ref="F1304" ca="1">IF(G1304&lt;&gt;"",INDIRECT("'"&amp;G1304&amp;"'!"&amp;H1304),"")</f>
        <v>200</v>
      </c>
      <c r="G1304" s="1582" t="s">
        <v>6960</v>
      </c>
      <c r="H1304" s="2" t="s">
        <v>4906</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6960</v>
      </c>
      <c r="H1307" s="2" t="s">
        <v>4907</v>
      </c>
    </row>
    <row r="1308" spans="1:11" x14ac:dyDescent="0.2">
      <c r="A1308">
        <v>1303</v>
      </c>
      <c r="B1308" s="7">
        <f>'EstExp 12-20'!G188</f>
        <v>200</v>
      </c>
      <c r="C1308" s="3">
        <f t="shared" si="39"/>
        <v>1103</v>
      </c>
      <c r="E1308" s="2" t="b">
        <f t="shared" ca="1" si="38"/>
        <v>1</v>
      </c>
      <c r="F1308" s="2" cm="1">
        <f t="array" aca="1" ref="F1308" ca="1">IF(G1308&lt;&gt;"",INDIRECT("'"&amp;G1308&amp;"'!"&amp;H1308),"")</f>
        <v>200</v>
      </c>
      <c r="G1308" s="1582" t="s">
        <v>6960</v>
      </c>
      <c r="H1308" s="2" t="s">
        <v>4908</v>
      </c>
    </row>
    <row r="1309" spans="1:11" x14ac:dyDescent="0.2">
      <c r="A1309">
        <v>1304</v>
      </c>
      <c r="B1309" s="7">
        <f>'EstExp 12-20'!G214</f>
        <v>200</v>
      </c>
      <c r="C1309" s="3">
        <f t="shared" si="39"/>
        <v>1104</v>
      </c>
      <c r="E1309" s="2" t="b">
        <f t="shared" ca="1" si="38"/>
        <v>1</v>
      </c>
      <c r="F1309" s="2" cm="1">
        <f t="array" aca="1" ref="F1309" ca="1">IF(G1309&lt;&gt;"",INDIRECT("'"&amp;G1309&amp;"'!"&amp;H1309),"")</f>
        <v>200</v>
      </c>
      <c r="G1309" s="1582" t="s">
        <v>6960</v>
      </c>
      <c r="H1309" s="2" t="s">
        <v>4909</v>
      </c>
    </row>
    <row r="1310" spans="1:11" x14ac:dyDescent="0.2">
      <c r="A1310">
        <v>1305</v>
      </c>
      <c r="B1310" s="7">
        <f>'EstExp 12-20'!H186</f>
        <v>300</v>
      </c>
      <c r="C1310" s="3">
        <f t="shared" si="39"/>
        <v>1005</v>
      </c>
      <c r="E1310" s="2" t="b">
        <f t="shared" ca="1" si="38"/>
        <v>1</v>
      </c>
      <c r="F1310" s="2" cm="1">
        <f t="array" aca="1" ref="F1310" ca="1">IF(G1310&lt;&gt;"",INDIRECT("'"&amp;G1310&amp;"'!"&amp;H1310),"")</f>
        <v>300</v>
      </c>
      <c r="G1310" s="1582" t="s">
        <v>6960</v>
      </c>
      <c r="H1310" s="2" t="s">
        <v>4910</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6960</v>
      </c>
      <c r="H1313" s="2" t="s">
        <v>4911</v>
      </c>
    </row>
    <row r="1314" spans="1:11" x14ac:dyDescent="0.2">
      <c r="A1314">
        <v>1309</v>
      </c>
      <c r="B1314" s="7">
        <f>'EstExp 12-20'!H188</f>
        <v>300</v>
      </c>
      <c r="C1314" s="3">
        <f t="shared" si="39"/>
        <v>1009</v>
      </c>
      <c r="E1314" s="2" t="b">
        <f t="shared" ca="1" si="38"/>
        <v>1</v>
      </c>
      <c r="F1314" s="2" cm="1">
        <f t="array" aca="1" ref="F1314" ca="1">IF(G1314&lt;&gt;"",INDIRECT("'"&amp;G1314&amp;"'!"&amp;H1314),"")</f>
        <v>300</v>
      </c>
      <c r="G1314" s="1582" t="s">
        <v>6960</v>
      </c>
      <c r="H1314" s="2" t="s">
        <v>4912</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6960</v>
      </c>
      <c r="H1315" s="2" t="s">
        <v>4913</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6960</v>
      </c>
      <c r="H1316" s="2" t="s">
        <v>4914</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6960</v>
      </c>
      <c r="H1317" s="2" t="s">
        <v>4915</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0</v>
      </c>
      <c r="C1319" s="3">
        <f t="shared" si="39"/>
        <v>1314</v>
      </c>
      <c r="E1319" s="2" t="b">
        <f t="shared" ca="1" si="38"/>
        <v>1</v>
      </c>
      <c r="F1319" s="2" cm="1">
        <f t="array" aca="1" ref="F1319" ca="1">IF(G1319&lt;&gt;"",INDIRECT("'"&amp;G1319&amp;"'!"&amp;H1319),"")</f>
        <v>0</v>
      </c>
      <c r="G1319" s="1582" t="s">
        <v>6960</v>
      </c>
      <c r="H1319" s="2" t="s">
        <v>4916</v>
      </c>
    </row>
    <row r="1320" spans="1:11" x14ac:dyDescent="0.2">
      <c r="A1320">
        <v>1315</v>
      </c>
      <c r="B1320" s="7">
        <f>'EstExp 12-20'!H214</f>
        <v>300</v>
      </c>
      <c r="C1320" s="3">
        <f t="shared" si="39"/>
        <v>1015</v>
      </c>
      <c r="E1320" s="2" t="b">
        <f t="shared" ca="1" si="38"/>
        <v>1</v>
      </c>
      <c r="F1320" s="2" cm="1">
        <f t="array" aca="1" ref="F1320" ca="1">IF(G1320&lt;&gt;"",INDIRECT("'"&amp;G1320&amp;"'!"&amp;H1320),"")</f>
        <v>300</v>
      </c>
      <c r="G1320" s="1582" t="s">
        <v>6960</v>
      </c>
      <c r="H1320" s="2" t="s">
        <v>4917</v>
      </c>
    </row>
    <row r="1321" spans="1:11" x14ac:dyDescent="0.2">
      <c r="A1321">
        <v>1316</v>
      </c>
      <c r="B1321" s="7">
        <f>'EstExp 12-20'!K186</f>
        <v>354000</v>
      </c>
      <c r="C1321" s="3">
        <f t="shared" si="39"/>
        <v>-352684</v>
      </c>
      <c r="E1321" s="2" t="b">
        <f t="shared" ca="1" si="38"/>
        <v>1</v>
      </c>
      <c r="F1321" s="2" cm="1">
        <f t="array" aca="1" ref="F1321" ca="1">IF(G1321&lt;&gt;"",INDIRECT("'"&amp;G1321&amp;"'!"&amp;H1321),"")</f>
        <v>354000</v>
      </c>
      <c r="G1321" s="1582" t="s">
        <v>6960</v>
      </c>
      <c r="H1321" s="2" t="s">
        <v>4918</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6960</v>
      </c>
      <c r="H1324" s="2" t="s">
        <v>4919</v>
      </c>
    </row>
    <row r="1325" spans="1:11" x14ac:dyDescent="0.2">
      <c r="A1325">
        <v>1320</v>
      </c>
      <c r="B1325" s="7">
        <f>'EstExp 12-20'!K188</f>
        <v>354000</v>
      </c>
      <c r="C1325" s="3">
        <f t="shared" si="39"/>
        <v>-352680</v>
      </c>
      <c r="E1325" s="2" t="b">
        <f t="shared" ca="1" si="38"/>
        <v>1</v>
      </c>
      <c r="F1325" s="2" cm="1">
        <f t="array" aca="1" ref="F1325" ca="1">IF(G1325&lt;&gt;"",INDIRECT("'"&amp;G1325&amp;"'!"&amp;H1325),"")</f>
        <v>354000</v>
      </c>
      <c r="G1325" s="1582" t="s">
        <v>6960</v>
      </c>
      <c r="H1325" s="2" t="s">
        <v>4920</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6960</v>
      </c>
      <c r="H1326" s="2" t="s">
        <v>4921</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6960</v>
      </c>
      <c r="H1327" s="2" t="s">
        <v>4922</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6960</v>
      </c>
      <c r="H1328" s="2" t="s">
        <v>4923</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6960</v>
      </c>
      <c r="H1329" s="2" t="s">
        <v>4924</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0</v>
      </c>
      <c r="C1331" s="3">
        <f t="shared" si="39"/>
        <v>1326</v>
      </c>
      <c r="E1331" s="2" t="b">
        <f t="shared" ca="1" si="38"/>
        <v>1</v>
      </c>
      <c r="F1331" s="2" cm="1">
        <f t="array" aca="1" ref="F1331" ca="1">IF(G1331&lt;&gt;"",INDIRECT("'"&amp;G1331&amp;"'!"&amp;H1331),"")</f>
        <v>0</v>
      </c>
      <c r="G1331" s="1582" t="s">
        <v>6960</v>
      </c>
      <c r="H1331" s="2" t="s">
        <v>4925</v>
      </c>
    </row>
    <row r="1332" spans="1:11" x14ac:dyDescent="0.2">
      <c r="A1332">
        <v>1327</v>
      </c>
      <c r="B1332" s="7">
        <f>'EstExp 12-20'!K214</f>
        <v>354000</v>
      </c>
      <c r="C1332" s="3">
        <f t="shared" si="39"/>
        <v>-352673</v>
      </c>
      <c r="E1332" s="2" t="b">
        <f t="shared" ca="1" si="38"/>
        <v>1</v>
      </c>
      <c r="F1332" s="2" cm="1">
        <f t="array" aca="1" ref="F1332" ca="1">IF(G1332&lt;&gt;"",INDIRECT("'"&amp;G1332&amp;"'!"&amp;H1332),"")</f>
        <v>354000</v>
      </c>
      <c r="G1332" s="1582" t="s">
        <v>6960</v>
      </c>
      <c r="H1332" s="2" t="s">
        <v>4926</v>
      </c>
    </row>
    <row r="1333" spans="1:11" x14ac:dyDescent="0.2">
      <c r="A1333">
        <v>1328</v>
      </c>
      <c r="B1333" s="7">
        <f>'EstExp 12-20'!K215</f>
        <v>-41000</v>
      </c>
      <c r="C1333" s="3">
        <f t="shared" si="39"/>
        <v>42328</v>
      </c>
      <c r="E1333" s="2" t="b">
        <f t="shared" ca="1" si="38"/>
        <v>1</v>
      </c>
      <c r="F1333" s="2" cm="1">
        <f t="array" aca="1" ref="F1333" ca="1">IF(G1333&lt;&gt;"",INDIRECT("'"&amp;G1333&amp;"'!"&amp;H1333),"")</f>
        <v>-41000</v>
      </c>
      <c r="G1333" s="1582" t="s">
        <v>6960</v>
      </c>
      <c r="H1333" s="2" t="s">
        <v>4927</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6960</v>
      </c>
      <c r="H1340" s="2" t="s">
        <v>4928</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6960</v>
      </c>
      <c r="H1346" s="2" t="s">
        <v>4929</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6960</v>
      </c>
      <c r="H1350" s="2" t="s">
        <v>4930</v>
      </c>
    </row>
    <row r="1351" spans="1:11" x14ac:dyDescent="0.2">
      <c r="A1351">
        <v>1346</v>
      </c>
      <c r="B1351" s="7">
        <f>'EstExp 12-20'!D226</f>
        <v>0</v>
      </c>
      <c r="C1351" s="3">
        <f t="shared" si="39"/>
        <v>1346</v>
      </c>
      <c r="E1351" s="2" t="b">
        <f t="shared" ca="1" si="40"/>
        <v>1</v>
      </c>
      <c r="F1351" s="2" cm="1">
        <f t="array" aca="1" ref="F1351" ca="1">IF(G1351&lt;&gt;"",INDIRECT("'"&amp;G1351&amp;"'!"&amp;H1351),"")</f>
        <v>0</v>
      </c>
      <c r="G1351" s="1582" t="s">
        <v>6960</v>
      </c>
      <c r="H1351" s="2" t="s">
        <v>4931</v>
      </c>
    </row>
    <row r="1352" spans="1:11" x14ac:dyDescent="0.2">
      <c r="A1352">
        <v>1347</v>
      </c>
      <c r="B1352" s="7">
        <f>'EstExp 12-20'!D227</f>
        <v>10000</v>
      </c>
      <c r="C1352" s="3">
        <f t="shared" ref="C1352:C1415" si="41">A1352-B1352</f>
        <v>-8653</v>
      </c>
      <c r="E1352" s="2" t="b">
        <f t="shared" ca="1" si="40"/>
        <v>1</v>
      </c>
      <c r="F1352" s="2" cm="1">
        <f t="array" aca="1" ref="F1352" ca="1">IF(G1352&lt;&gt;"",INDIRECT("'"&amp;G1352&amp;"'!"&amp;H1352),"")</f>
        <v>10000</v>
      </c>
      <c r="G1352" s="1582" t="s">
        <v>6960</v>
      </c>
      <c r="H1352" s="2" t="s">
        <v>4932</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6960</v>
      </c>
      <c r="H1353" s="2" t="s">
        <v>4933</v>
      </c>
    </row>
    <row r="1354" spans="1:11" x14ac:dyDescent="0.2">
      <c r="A1354">
        <v>1349</v>
      </c>
      <c r="B1354" s="7">
        <f>'EstExp 12-20'!D233</f>
        <v>64700</v>
      </c>
      <c r="C1354" s="3">
        <f t="shared" si="41"/>
        <v>-63351</v>
      </c>
      <c r="E1354" s="2" t="b">
        <f t="shared" ca="1" si="40"/>
        <v>1</v>
      </c>
      <c r="F1354" s="2" cm="1">
        <f t="array" aca="1" ref="F1354" ca="1">IF(G1354&lt;&gt;"",INDIRECT("'"&amp;G1354&amp;"'!"&amp;H1354),"")</f>
        <v>64700</v>
      </c>
      <c r="G1354" s="1582" t="s">
        <v>6960</v>
      </c>
      <c r="H1354" s="2" t="s">
        <v>4934</v>
      </c>
    </row>
    <row r="1355" spans="1:11" x14ac:dyDescent="0.2">
      <c r="A1355">
        <v>1350</v>
      </c>
      <c r="B1355" s="7">
        <f>'EstExp 12-20'!D236</f>
        <v>900</v>
      </c>
      <c r="C1355" s="3">
        <f t="shared" si="41"/>
        <v>450</v>
      </c>
      <c r="E1355" s="2" t="b">
        <f t="shared" ca="1" si="40"/>
        <v>1</v>
      </c>
      <c r="F1355" s="2" cm="1">
        <f t="array" aca="1" ref="F1355" ca="1">IF(G1355&lt;&gt;"",INDIRECT("'"&amp;G1355&amp;"'!"&amp;H1355),"")</f>
        <v>900</v>
      </c>
      <c r="G1355" s="1582" t="s">
        <v>6960</v>
      </c>
      <c r="H1355" s="2" t="s">
        <v>4935</v>
      </c>
    </row>
    <row r="1356" spans="1:11" x14ac:dyDescent="0.2">
      <c r="A1356">
        <v>1351</v>
      </c>
      <c r="B1356" s="7">
        <f>'EstExp 12-20'!D237</f>
        <v>700</v>
      </c>
      <c r="C1356" s="3">
        <f t="shared" si="41"/>
        <v>651</v>
      </c>
      <c r="E1356" s="2" t="b">
        <f t="shared" ca="1" si="40"/>
        <v>1</v>
      </c>
      <c r="F1356" s="2" cm="1">
        <f t="array" aca="1" ref="F1356" ca="1">IF(G1356&lt;&gt;"",INDIRECT("'"&amp;G1356&amp;"'!"&amp;H1356),"")</f>
        <v>700</v>
      </c>
      <c r="G1356" s="1582" t="s">
        <v>6960</v>
      </c>
      <c r="H1356" s="2" t="s">
        <v>4936</v>
      </c>
    </row>
    <row r="1357" spans="1:11" x14ac:dyDescent="0.2">
      <c r="A1357">
        <v>1352</v>
      </c>
      <c r="B1357" s="7">
        <f>'EstExp 12-20'!D238</f>
        <v>0</v>
      </c>
      <c r="C1357" s="3">
        <f t="shared" si="41"/>
        <v>1352</v>
      </c>
      <c r="E1357" s="2" t="b">
        <f t="shared" ca="1" si="40"/>
        <v>1</v>
      </c>
      <c r="F1357" s="2" cm="1">
        <f t="array" aca="1" ref="F1357" ca="1">IF(G1357&lt;&gt;"",INDIRECT("'"&amp;G1357&amp;"'!"&amp;H1357),"")</f>
        <v>0</v>
      </c>
      <c r="G1357" s="1582" t="s">
        <v>6960</v>
      </c>
      <c r="H1357" s="2" t="s">
        <v>4937</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6960</v>
      </c>
      <c r="H1358" s="2" t="s">
        <v>4938</v>
      </c>
    </row>
    <row r="1359" spans="1:11" x14ac:dyDescent="0.2">
      <c r="A1359">
        <v>1354</v>
      </c>
      <c r="B1359" s="7">
        <f>'EstExp 12-20'!D240</f>
        <v>0</v>
      </c>
      <c r="C1359" s="3">
        <f t="shared" si="41"/>
        <v>1354</v>
      </c>
      <c r="E1359" s="2" t="b">
        <f t="shared" ca="1" si="40"/>
        <v>1</v>
      </c>
      <c r="F1359" s="2" cm="1">
        <f t="array" aca="1" ref="F1359" ca="1">IF(G1359&lt;&gt;"",INDIRECT("'"&amp;G1359&amp;"'!"&amp;H1359),"")</f>
        <v>0</v>
      </c>
      <c r="G1359" s="1582" t="s">
        <v>6960</v>
      </c>
      <c r="H1359" s="2" t="s">
        <v>4939</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6960</v>
      </c>
      <c r="H1360" s="2" t="s">
        <v>4940</v>
      </c>
    </row>
    <row r="1361" spans="1:8" x14ac:dyDescent="0.2">
      <c r="A1361">
        <v>1356</v>
      </c>
      <c r="B1361" s="7">
        <f>'EstExp 12-20'!D242</f>
        <v>1600</v>
      </c>
      <c r="C1361" s="3">
        <f t="shared" si="41"/>
        <v>-244</v>
      </c>
      <c r="E1361" s="2" t="b">
        <f t="shared" ca="1" si="40"/>
        <v>1</v>
      </c>
      <c r="F1361" s="2" cm="1">
        <f t="array" aca="1" ref="F1361" ca="1">IF(G1361&lt;&gt;"",INDIRECT("'"&amp;G1361&amp;"'!"&amp;H1361),"")</f>
        <v>1600</v>
      </c>
      <c r="G1361" s="1582" t="s">
        <v>6960</v>
      </c>
      <c r="H1361" s="2" t="s">
        <v>4941</v>
      </c>
    </row>
    <row r="1362" spans="1:8" x14ac:dyDescent="0.2">
      <c r="A1362">
        <v>1357</v>
      </c>
      <c r="B1362" s="7">
        <f>'EstExp 12-20'!D244</f>
        <v>500</v>
      </c>
      <c r="C1362" s="3">
        <f t="shared" si="41"/>
        <v>857</v>
      </c>
      <c r="E1362" s="2" t="b">
        <f t="shared" ca="1" si="40"/>
        <v>1</v>
      </c>
      <c r="F1362" s="2" cm="1">
        <f t="array" aca="1" ref="F1362" ca="1">IF(G1362&lt;&gt;"",INDIRECT("'"&amp;G1362&amp;"'!"&amp;H1362),"")</f>
        <v>500</v>
      </c>
      <c r="G1362" s="1582" t="s">
        <v>6960</v>
      </c>
      <c r="H1362" s="2" t="s">
        <v>4942</v>
      </c>
    </row>
    <row r="1363" spans="1:8" x14ac:dyDescent="0.2">
      <c r="A1363">
        <v>1358</v>
      </c>
      <c r="B1363" s="7">
        <f>'EstExp 12-20'!D245</f>
        <v>1300</v>
      </c>
      <c r="C1363" s="3">
        <f t="shared" si="41"/>
        <v>58</v>
      </c>
      <c r="E1363" s="2" t="b">
        <f t="shared" ca="1" si="40"/>
        <v>1</v>
      </c>
      <c r="F1363" s="2" cm="1">
        <f t="array" aca="1" ref="F1363" ca="1">IF(G1363&lt;&gt;"",INDIRECT("'"&amp;G1363&amp;"'!"&amp;H1363),"")</f>
        <v>1300</v>
      </c>
      <c r="G1363" s="1582" t="s">
        <v>6960</v>
      </c>
      <c r="H1363" s="2" t="s">
        <v>4943</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6960</v>
      </c>
      <c r="H1364" s="2" t="s">
        <v>4944</v>
      </c>
    </row>
    <row r="1365" spans="1:8" x14ac:dyDescent="0.2">
      <c r="A1365">
        <v>1360</v>
      </c>
      <c r="B1365" s="7">
        <f>'EstExp 12-20'!D247</f>
        <v>1800</v>
      </c>
      <c r="C1365" s="3">
        <f t="shared" si="41"/>
        <v>-440</v>
      </c>
      <c r="E1365" s="2" t="b">
        <f t="shared" ca="1" si="40"/>
        <v>1</v>
      </c>
      <c r="F1365" s="2" cm="1">
        <f t="array" aca="1" ref="F1365" ca="1">IF(G1365&lt;&gt;"",INDIRECT("'"&amp;G1365&amp;"'!"&amp;H1365),"")</f>
        <v>1800</v>
      </c>
      <c r="G1365" s="1582" t="s">
        <v>6960</v>
      </c>
      <c r="H1365" s="2" t="s">
        <v>4945</v>
      </c>
    </row>
    <row r="1366" spans="1:8" x14ac:dyDescent="0.2">
      <c r="A1366">
        <v>1361</v>
      </c>
      <c r="B1366" s="7">
        <f>'EstExp 12-20'!D249</f>
        <v>150</v>
      </c>
      <c r="C1366" s="3">
        <f t="shared" si="41"/>
        <v>1211</v>
      </c>
      <c r="E1366" s="2" t="b">
        <f t="shared" ca="1" si="40"/>
        <v>1</v>
      </c>
      <c r="F1366" s="2" cm="1">
        <f t="array" aca="1" ref="F1366" ca="1">IF(G1366&lt;&gt;"",INDIRECT("'"&amp;G1366&amp;"'!"&amp;H1366),"")</f>
        <v>150</v>
      </c>
      <c r="G1366" s="1582" t="s">
        <v>6960</v>
      </c>
      <c r="H1366" s="2" t="s">
        <v>4946</v>
      </c>
    </row>
    <row r="1367" spans="1:8" x14ac:dyDescent="0.2">
      <c r="A1367">
        <v>1362</v>
      </c>
      <c r="B1367" s="7">
        <f>'EstExp 12-20'!D250</f>
        <v>3300</v>
      </c>
      <c r="C1367" s="3">
        <f t="shared" si="41"/>
        <v>-1938</v>
      </c>
      <c r="E1367" s="2" t="b">
        <f t="shared" ca="1" si="40"/>
        <v>1</v>
      </c>
      <c r="F1367" s="2" cm="1">
        <f t="array" aca="1" ref="F1367" ca="1">IF(G1367&lt;&gt;"",INDIRECT("'"&amp;G1367&amp;"'!"&amp;H1367),"")</f>
        <v>3300</v>
      </c>
      <c r="G1367" s="1582" t="s">
        <v>6960</v>
      </c>
      <c r="H1367" s="2" t="s">
        <v>4947</v>
      </c>
    </row>
    <row r="1368" spans="1:8" x14ac:dyDescent="0.2">
      <c r="A1368">
        <v>1363</v>
      </c>
      <c r="B1368" s="7">
        <f>'EstExp 12-20'!D254</f>
        <v>3450</v>
      </c>
      <c r="C1368" s="3">
        <f t="shared" si="41"/>
        <v>-2087</v>
      </c>
      <c r="E1368" s="2" t="b">
        <f t="shared" ca="1" si="40"/>
        <v>1</v>
      </c>
      <c r="F1368" s="2" cm="1">
        <f t="array" aca="1" ref="F1368" ca="1">IF(G1368&lt;&gt;"",INDIRECT("'"&amp;G1368&amp;"'!"&amp;H1368),"")</f>
        <v>3450</v>
      </c>
      <c r="G1368" s="1582" t="s">
        <v>6960</v>
      </c>
      <c r="H1368" s="2" t="s">
        <v>4948</v>
      </c>
    </row>
    <row r="1369" spans="1:8" x14ac:dyDescent="0.2">
      <c r="A1369">
        <v>1364</v>
      </c>
      <c r="B1369" s="7">
        <f>'EstExp 12-20'!D256</f>
        <v>39700</v>
      </c>
      <c r="C1369" s="3">
        <f t="shared" si="41"/>
        <v>-38336</v>
      </c>
      <c r="E1369" s="2" t="b">
        <f t="shared" ca="1" si="40"/>
        <v>1</v>
      </c>
      <c r="F1369" s="2" cm="1">
        <f t="array" aca="1" ref="F1369" ca="1">IF(G1369&lt;&gt;"",INDIRECT("'"&amp;G1369&amp;"'!"&amp;H1369),"")</f>
        <v>39700</v>
      </c>
      <c r="G1369" s="1582" t="s">
        <v>6960</v>
      </c>
      <c r="H1369" s="2" t="s">
        <v>4949</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6960</v>
      </c>
      <c r="H1370" s="2" t="s">
        <v>4950</v>
      </c>
    </row>
    <row r="1371" spans="1:8" x14ac:dyDescent="0.2">
      <c r="A1371">
        <v>1366</v>
      </c>
      <c r="B1371" s="7">
        <f>'EstExp 12-20'!D258</f>
        <v>39700</v>
      </c>
      <c r="C1371" s="3">
        <f t="shared" si="41"/>
        <v>-38334</v>
      </c>
      <c r="E1371" s="2" t="b">
        <f t="shared" ca="1" si="40"/>
        <v>1</v>
      </c>
      <c r="F1371" s="2" cm="1">
        <f t="array" aca="1" ref="F1371" ca="1">IF(G1371&lt;&gt;"",INDIRECT("'"&amp;G1371&amp;"'!"&amp;H1371),"")</f>
        <v>39700</v>
      </c>
      <c r="G1371" s="1582" t="s">
        <v>6960</v>
      </c>
      <c r="H1371" s="2" t="s">
        <v>4951</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6960</v>
      </c>
      <c r="H1372" s="2" t="s">
        <v>4952</v>
      </c>
    </row>
    <row r="1373" spans="1:8" x14ac:dyDescent="0.2">
      <c r="A1373">
        <v>1368</v>
      </c>
      <c r="B1373" s="7">
        <f>'EstExp 12-20'!D261</f>
        <v>12600</v>
      </c>
      <c r="C1373" s="3">
        <f t="shared" si="41"/>
        <v>-11232</v>
      </c>
      <c r="E1373" s="2" t="b">
        <f t="shared" ca="1" si="40"/>
        <v>1</v>
      </c>
      <c r="F1373" s="2" cm="1">
        <f t="array" aca="1" ref="F1373" ca="1">IF(G1373&lt;&gt;"",INDIRECT("'"&amp;G1373&amp;"'!"&amp;H1373),"")</f>
        <v>12600</v>
      </c>
      <c r="G1373" s="1582" t="s">
        <v>6960</v>
      </c>
      <c r="H1373" s="2" t="s">
        <v>4953</v>
      </c>
    </row>
    <row r="1374" spans="1:8" x14ac:dyDescent="0.2">
      <c r="A1374">
        <v>1369</v>
      </c>
      <c r="B1374" s="7">
        <f>'EstExp 12-20'!D262</f>
        <v>0</v>
      </c>
      <c r="C1374" s="3">
        <f t="shared" si="41"/>
        <v>1369</v>
      </c>
      <c r="E1374" s="2" t="b">
        <f t="shared" ca="1" si="40"/>
        <v>1</v>
      </c>
      <c r="F1374" s="2" cm="1">
        <f t="array" aca="1" ref="F1374" ca="1">IF(G1374&lt;&gt;"",INDIRECT("'"&amp;G1374&amp;"'!"&amp;H1374),"")</f>
        <v>0</v>
      </c>
      <c r="G1374" s="1582" t="s">
        <v>6960</v>
      </c>
      <c r="H1374" s="2" t="s">
        <v>4954</v>
      </c>
    </row>
    <row r="1375" spans="1:8" x14ac:dyDescent="0.2">
      <c r="A1375">
        <v>1370</v>
      </c>
      <c r="B1375" s="7">
        <f>'EstExp 12-20'!D263</f>
        <v>36500</v>
      </c>
      <c r="C1375" s="3">
        <f t="shared" si="41"/>
        <v>-35130</v>
      </c>
      <c r="E1375" s="2" t="b">
        <f t="shared" ca="1" si="40"/>
        <v>1</v>
      </c>
      <c r="F1375" s="2" cm="1">
        <f t="array" aca="1" ref="F1375" ca="1">IF(G1375&lt;&gt;"",INDIRECT("'"&amp;G1375&amp;"'!"&amp;H1375),"")</f>
        <v>36500</v>
      </c>
      <c r="G1375" s="1582" t="s">
        <v>6960</v>
      </c>
      <c r="H1375" s="2" t="s">
        <v>4955</v>
      </c>
    </row>
    <row r="1376" spans="1:8" x14ac:dyDescent="0.2">
      <c r="A1376">
        <v>1371</v>
      </c>
      <c r="B1376" s="7">
        <f>'EstExp 12-20'!D264</f>
        <v>27850</v>
      </c>
      <c r="C1376" s="3">
        <f t="shared" si="41"/>
        <v>-26479</v>
      </c>
      <c r="E1376" s="2" t="b">
        <f t="shared" ca="1" si="40"/>
        <v>1</v>
      </c>
      <c r="F1376" s="2" cm="1">
        <f t="array" aca="1" ref="F1376" ca="1">IF(G1376&lt;&gt;"",INDIRECT("'"&amp;G1376&amp;"'!"&amp;H1376),"")</f>
        <v>27850</v>
      </c>
      <c r="G1376" s="1582" t="s">
        <v>6960</v>
      </c>
      <c r="H1376" s="2" t="s">
        <v>4956</v>
      </c>
    </row>
    <row r="1377" spans="1:11" x14ac:dyDescent="0.2">
      <c r="A1377">
        <v>1372</v>
      </c>
      <c r="B1377" s="7">
        <f>'EstExp 12-20'!D265</f>
        <v>17800</v>
      </c>
      <c r="C1377" s="3">
        <f t="shared" si="41"/>
        <v>-16428</v>
      </c>
      <c r="E1377" s="2" t="b">
        <f t="shared" ca="1" si="40"/>
        <v>1</v>
      </c>
      <c r="F1377" s="2" cm="1">
        <f t="array" aca="1" ref="F1377" ca="1">IF(G1377&lt;&gt;"",INDIRECT("'"&amp;G1377&amp;"'!"&amp;H1377),"")</f>
        <v>17800</v>
      </c>
      <c r="G1377" s="1582" t="s">
        <v>6960</v>
      </c>
      <c r="H1377" s="2" t="s">
        <v>4957</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6960</v>
      </c>
      <c r="H1378" s="2" t="s">
        <v>4958</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94750</v>
      </c>
      <c r="C1380" s="3">
        <f t="shared" si="41"/>
        <v>-93375</v>
      </c>
      <c r="E1380" s="2" t="b">
        <f t="shared" ca="1" si="40"/>
        <v>1</v>
      </c>
      <c r="F1380" s="2" cm="1">
        <f t="array" aca="1" ref="F1380" ca="1">IF(G1380&lt;&gt;"",INDIRECT("'"&amp;G1380&amp;"'!"&amp;H1380),"")</f>
        <v>94750</v>
      </c>
      <c r="G1380" s="1582" t="s">
        <v>6960</v>
      </c>
      <c r="H1380" s="2" t="s">
        <v>4959</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6960</v>
      </c>
      <c r="H1381" s="2" t="s">
        <v>4960</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6960</v>
      </c>
      <c r="H1382" s="2" t="s">
        <v>4961</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6960</v>
      </c>
      <c r="H1383" s="2" t="s">
        <v>4962</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6960</v>
      </c>
      <c r="H1384" s="2" t="s">
        <v>4963</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6960</v>
      </c>
      <c r="H1386" s="2" t="s">
        <v>4964</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6960</v>
      </c>
      <c r="H1388" s="2" t="s">
        <v>4965</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6960</v>
      </c>
      <c r="H1389" s="2" t="s">
        <v>4966</v>
      </c>
    </row>
    <row r="1390" spans="1:11" x14ac:dyDescent="0.2">
      <c r="A1390">
        <v>1385</v>
      </c>
      <c r="B1390" s="7">
        <f>'EstExp 12-20'!D276</f>
        <v>141300</v>
      </c>
      <c r="C1390" s="3">
        <f t="shared" si="41"/>
        <v>-139915</v>
      </c>
      <c r="E1390" s="2" t="b">
        <f t="shared" ca="1" si="40"/>
        <v>1</v>
      </c>
      <c r="F1390" s="2" cm="1">
        <f t="array" aca="1" ref="F1390" ca="1">IF(G1390&lt;&gt;"",INDIRECT("'"&amp;G1390&amp;"'!"&amp;H1390),"")</f>
        <v>141300</v>
      </c>
      <c r="G1390" s="1582" t="s">
        <v>6960</v>
      </c>
      <c r="H1390" s="2" t="s">
        <v>4967</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6960</v>
      </c>
      <c r="H1391" s="2" t="s">
        <v>4968</v>
      </c>
    </row>
    <row r="1392" spans="1:11" x14ac:dyDescent="0.2">
      <c r="A1392">
        <v>1387</v>
      </c>
      <c r="B1392" s="7">
        <f>'EstExp 12-20'!D292</f>
        <v>206000</v>
      </c>
      <c r="C1392" s="3">
        <f t="shared" si="41"/>
        <v>-204613</v>
      </c>
      <c r="E1392" s="2" t="b">
        <f t="shared" ca="1" si="40"/>
        <v>1</v>
      </c>
      <c r="F1392" s="2" cm="1">
        <f t="array" aca="1" ref="F1392" ca="1">IF(G1392&lt;&gt;"",INDIRECT("'"&amp;G1392&amp;"'!"&amp;H1392),"")</f>
        <v>206000</v>
      </c>
      <c r="G1392" s="1582" t="s">
        <v>6960</v>
      </c>
      <c r="H1392" s="2" t="s">
        <v>4969</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6960</v>
      </c>
      <c r="H1393" s="2" t="s">
        <v>4970</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6960</v>
      </c>
      <c r="H1394" s="2" t="s">
        <v>4971</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6960</v>
      </c>
      <c r="H1395" s="2" t="s">
        <v>4972</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6960</v>
      </c>
      <c r="H1396" s="2" t="s">
        <v>4973</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6960</v>
      </c>
      <c r="H1398" s="2" t="s">
        <v>4974</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6960</v>
      </c>
      <c r="H1404" s="2" t="s">
        <v>4975</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6960</v>
      </c>
      <c r="H1410" s="2" t="s">
        <v>4976</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6960</v>
      </c>
      <c r="H1414" s="2" t="s">
        <v>4977</v>
      </c>
    </row>
    <row r="1415" spans="1:11" x14ac:dyDescent="0.2">
      <c r="A1415">
        <v>1410</v>
      </c>
      <c r="B1415" s="7">
        <f>'EstExp 12-20'!K226</f>
        <v>0</v>
      </c>
      <c r="C1415" s="3">
        <f t="shared" si="41"/>
        <v>1410</v>
      </c>
      <c r="E1415" s="2" t="b">
        <f t="shared" ca="1" si="42"/>
        <v>1</v>
      </c>
      <c r="F1415" s="2" cm="1">
        <f t="array" aca="1" ref="F1415" ca="1">IF(G1415&lt;&gt;"",INDIRECT("'"&amp;G1415&amp;"'!"&amp;H1415),"")</f>
        <v>0</v>
      </c>
      <c r="G1415" s="1582" t="s">
        <v>6960</v>
      </c>
      <c r="H1415" s="2" t="s">
        <v>4978</v>
      </c>
    </row>
    <row r="1416" spans="1:11" x14ac:dyDescent="0.2">
      <c r="A1416">
        <v>1411</v>
      </c>
      <c r="B1416" s="7">
        <f>'EstExp 12-20'!K227</f>
        <v>10000</v>
      </c>
      <c r="C1416" s="3">
        <f t="shared" ref="C1416:C1479" si="43">A1416-B1416</f>
        <v>-8589</v>
      </c>
      <c r="E1416" s="2" t="b">
        <f t="shared" ca="1" si="42"/>
        <v>1</v>
      </c>
      <c r="F1416" s="2" cm="1">
        <f t="array" aca="1" ref="F1416" ca="1">IF(G1416&lt;&gt;"",INDIRECT("'"&amp;G1416&amp;"'!"&amp;H1416),"")</f>
        <v>10000</v>
      </c>
      <c r="G1416" s="1582" t="s">
        <v>6960</v>
      </c>
      <c r="H1416" s="2" t="s">
        <v>4979</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6960</v>
      </c>
      <c r="H1417" s="2" t="s">
        <v>4980</v>
      </c>
    </row>
    <row r="1418" spans="1:11" x14ac:dyDescent="0.2">
      <c r="A1418">
        <v>1413</v>
      </c>
      <c r="B1418" s="7">
        <f>'EstExp 12-20'!K233</f>
        <v>64700</v>
      </c>
      <c r="C1418" s="3">
        <f t="shared" si="43"/>
        <v>-63287</v>
      </c>
      <c r="E1418" s="2" t="b">
        <f t="shared" ca="1" si="42"/>
        <v>1</v>
      </c>
      <c r="F1418" s="2" cm="1">
        <f t="array" aca="1" ref="F1418" ca="1">IF(G1418&lt;&gt;"",INDIRECT("'"&amp;G1418&amp;"'!"&amp;H1418),"")</f>
        <v>64700</v>
      </c>
      <c r="G1418" s="1582" t="s">
        <v>6960</v>
      </c>
      <c r="H1418" s="2" t="s">
        <v>4981</v>
      </c>
    </row>
    <row r="1419" spans="1:11" x14ac:dyDescent="0.2">
      <c r="A1419">
        <v>1414</v>
      </c>
      <c r="B1419" s="7">
        <f>'EstExp 12-20'!K236</f>
        <v>900</v>
      </c>
      <c r="C1419" s="3">
        <f t="shared" si="43"/>
        <v>514</v>
      </c>
      <c r="E1419" s="2" t="b">
        <f t="shared" ca="1" si="42"/>
        <v>1</v>
      </c>
      <c r="F1419" s="2" cm="1">
        <f t="array" aca="1" ref="F1419" ca="1">IF(G1419&lt;&gt;"",INDIRECT("'"&amp;G1419&amp;"'!"&amp;H1419),"")</f>
        <v>900</v>
      </c>
      <c r="G1419" s="1582" t="s">
        <v>6960</v>
      </c>
      <c r="H1419" s="2" t="s">
        <v>4982</v>
      </c>
    </row>
    <row r="1420" spans="1:11" x14ac:dyDescent="0.2">
      <c r="A1420">
        <v>1415</v>
      </c>
      <c r="B1420" s="7">
        <f>'EstExp 12-20'!K237</f>
        <v>700</v>
      </c>
      <c r="C1420" s="3">
        <f t="shared" si="43"/>
        <v>715</v>
      </c>
      <c r="E1420" s="2" t="b">
        <f t="shared" ca="1" si="42"/>
        <v>1</v>
      </c>
      <c r="F1420" s="2" cm="1">
        <f t="array" aca="1" ref="F1420" ca="1">IF(G1420&lt;&gt;"",INDIRECT("'"&amp;G1420&amp;"'!"&amp;H1420),"")</f>
        <v>700</v>
      </c>
      <c r="G1420" s="1582" t="s">
        <v>6960</v>
      </c>
      <c r="H1420" s="2" t="s">
        <v>4983</v>
      </c>
    </row>
    <row r="1421" spans="1:11" x14ac:dyDescent="0.2">
      <c r="A1421">
        <v>1416</v>
      </c>
      <c r="B1421" s="7">
        <f>'EstExp 12-20'!K238</f>
        <v>0</v>
      </c>
      <c r="C1421" s="3">
        <f t="shared" si="43"/>
        <v>1416</v>
      </c>
      <c r="E1421" s="2" t="b">
        <f t="shared" ca="1" si="42"/>
        <v>1</v>
      </c>
      <c r="F1421" s="2" cm="1">
        <f t="array" aca="1" ref="F1421" ca="1">IF(G1421&lt;&gt;"",INDIRECT("'"&amp;G1421&amp;"'!"&amp;H1421),"")</f>
        <v>0</v>
      </c>
      <c r="G1421" s="1582" t="s">
        <v>6960</v>
      </c>
      <c r="H1421" s="2" t="s">
        <v>4984</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6960</v>
      </c>
      <c r="H1422" s="2" t="s">
        <v>4985</v>
      </c>
    </row>
    <row r="1423" spans="1:11" x14ac:dyDescent="0.2">
      <c r="A1423">
        <v>1418</v>
      </c>
      <c r="B1423" s="7">
        <f>'EstExp 12-20'!K240</f>
        <v>0</v>
      </c>
      <c r="C1423" s="3">
        <f t="shared" si="43"/>
        <v>1418</v>
      </c>
      <c r="E1423" s="2" t="b">
        <f t="shared" ca="1" si="42"/>
        <v>1</v>
      </c>
      <c r="F1423" s="2" cm="1">
        <f t="array" aca="1" ref="F1423" ca="1">IF(G1423&lt;&gt;"",INDIRECT("'"&amp;G1423&amp;"'!"&amp;H1423),"")</f>
        <v>0</v>
      </c>
      <c r="G1423" s="1582" t="s">
        <v>6960</v>
      </c>
      <c r="H1423" s="2" t="s">
        <v>4986</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6960</v>
      </c>
      <c r="H1424" s="2" t="s">
        <v>4987</v>
      </c>
    </row>
    <row r="1425" spans="1:8" x14ac:dyDescent="0.2">
      <c r="A1425">
        <v>1420</v>
      </c>
      <c r="B1425" s="7">
        <f>'EstExp 12-20'!K242</f>
        <v>1600</v>
      </c>
      <c r="C1425" s="3">
        <f t="shared" si="43"/>
        <v>-180</v>
      </c>
      <c r="E1425" s="2" t="b">
        <f t="shared" ca="1" si="42"/>
        <v>1</v>
      </c>
      <c r="F1425" s="2" cm="1">
        <f t="array" aca="1" ref="F1425" ca="1">IF(G1425&lt;&gt;"",INDIRECT("'"&amp;G1425&amp;"'!"&amp;H1425),"")</f>
        <v>1600</v>
      </c>
      <c r="G1425" s="1582" t="s">
        <v>6960</v>
      </c>
      <c r="H1425" s="2" t="s">
        <v>4988</v>
      </c>
    </row>
    <row r="1426" spans="1:8" x14ac:dyDescent="0.2">
      <c r="A1426">
        <v>1421</v>
      </c>
      <c r="B1426" s="7">
        <f>'EstExp 12-20'!K244</f>
        <v>500</v>
      </c>
      <c r="C1426" s="3">
        <f t="shared" si="43"/>
        <v>921</v>
      </c>
      <c r="E1426" s="2" t="b">
        <f t="shared" ca="1" si="42"/>
        <v>1</v>
      </c>
      <c r="F1426" s="2" cm="1">
        <f t="array" aca="1" ref="F1426" ca="1">IF(G1426&lt;&gt;"",INDIRECT("'"&amp;G1426&amp;"'!"&amp;H1426),"")</f>
        <v>500</v>
      </c>
      <c r="G1426" s="1582" t="s">
        <v>6960</v>
      </c>
      <c r="H1426" s="2" t="s">
        <v>4989</v>
      </c>
    </row>
    <row r="1427" spans="1:8" x14ac:dyDescent="0.2">
      <c r="A1427">
        <v>1422</v>
      </c>
      <c r="B1427" s="7">
        <f>'EstExp 12-20'!K245</f>
        <v>1300</v>
      </c>
      <c r="C1427" s="3">
        <f t="shared" si="43"/>
        <v>122</v>
      </c>
      <c r="E1427" s="2" t="b">
        <f t="shared" ca="1" si="42"/>
        <v>1</v>
      </c>
      <c r="F1427" s="2" cm="1">
        <f t="array" aca="1" ref="F1427" ca="1">IF(G1427&lt;&gt;"",INDIRECT("'"&amp;G1427&amp;"'!"&amp;H1427),"")</f>
        <v>1300</v>
      </c>
      <c r="G1427" s="1582" t="s">
        <v>6960</v>
      </c>
      <c r="H1427" s="2" t="s">
        <v>4990</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6960</v>
      </c>
      <c r="H1428" s="2" t="s">
        <v>4991</v>
      </c>
    </row>
    <row r="1429" spans="1:8" x14ac:dyDescent="0.2">
      <c r="A1429">
        <v>1424</v>
      </c>
      <c r="B1429" s="7">
        <f>'EstExp 12-20'!K247</f>
        <v>1800</v>
      </c>
      <c r="C1429" s="3">
        <f t="shared" si="43"/>
        <v>-376</v>
      </c>
      <c r="E1429" s="2" t="b">
        <f t="shared" ca="1" si="42"/>
        <v>1</v>
      </c>
      <c r="F1429" s="2" cm="1">
        <f t="array" aca="1" ref="F1429" ca="1">IF(G1429&lt;&gt;"",INDIRECT("'"&amp;G1429&amp;"'!"&amp;H1429),"")</f>
        <v>1800</v>
      </c>
      <c r="G1429" s="1582" t="s">
        <v>6960</v>
      </c>
      <c r="H1429" s="2" t="s">
        <v>4992</v>
      </c>
    </row>
    <row r="1430" spans="1:8" x14ac:dyDescent="0.2">
      <c r="A1430">
        <v>1425</v>
      </c>
      <c r="B1430" s="7">
        <f>'EstExp 12-20'!K249</f>
        <v>150</v>
      </c>
      <c r="C1430" s="3">
        <f t="shared" si="43"/>
        <v>1275</v>
      </c>
      <c r="E1430" s="2" t="b">
        <f t="shared" ca="1" si="42"/>
        <v>1</v>
      </c>
      <c r="F1430" s="2" cm="1">
        <f t="array" aca="1" ref="F1430" ca="1">IF(G1430&lt;&gt;"",INDIRECT("'"&amp;G1430&amp;"'!"&amp;H1430),"")</f>
        <v>150</v>
      </c>
      <c r="G1430" s="1582" t="s">
        <v>6960</v>
      </c>
      <c r="H1430" s="2" t="s">
        <v>4993</v>
      </c>
    </row>
    <row r="1431" spans="1:8" x14ac:dyDescent="0.2">
      <c r="A1431">
        <v>1426</v>
      </c>
      <c r="B1431" s="7">
        <f>'EstExp 12-20'!K250</f>
        <v>3300</v>
      </c>
      <c r="C1431" s="3">
        <f t="shared" si="43"/>
        <v>-1874</v>
      </c>
      <c r="E1431" s="2" t="b">
        <f t="shared" ca="1" si="42"/>
        <v>1</v>
      </c>
      <c r="F1431" s="2" cm="1">
        <f t="array" aca="1" ref="F1431" ca="1">IF(G1431&lt;&gt;"",INDIRECT("'"&amp;G1431&amp;"'!"&amp;H1431),"")</f>
        <v>3300</v>
      </c>
      <c r="G1431" s="1582" t="s">
        <v>6960</v>
      </c>
      <c r="H1431" s="2" t="s">
        <v>4994</v>
      </c>
    </row>
    <row r="1432" spans="1:8" x14ac:dyDescent="0.2">
      <c r="A1432">
        <v>1427</v>
      </c>
      <c r="B1432" s="7">
        <f>'EstExp 12-20'!K254</f>
        <v>3450</v>
      </c>
      <c r="C1432" s="3">
        <f t="shared" si="43"/>
        <v>-2023</v>
      </c>
      <c r="E1432" s="2" t="b">
        <f t="shared" ca="1" si="42"/>
        <v>1</v>
      </c>
      <c r="F1432" s="2" cm="1">
        <f t="array" aca="1" ref="F1432" ca="1">IF(G1432&lt;&gt;"",INDIRECT("'"&amp;G1432&amp;"'!"&amp;H1432),"")</f>
        <v>3450</v>
      </c>
      <c r="G1432" s="1582" t="s">
        <v>6960</v>
      </c>
      <c r="H1432" s="2" t="s">
        <v>4995</v>
      </c>
    </row>
    <row r="1433" spans="1:8" x14ac:dyDescent="0.2">
      <c r="A1433">
        <v>1428</v>
      </c>
      <c r="B1433" s="7">
        <f>'EstExp 12-20'!K256</f>
        <v>39700</v>
      </c>
      <c r="C1433" s="3">
        <f t="shared" si="43"/>
        <v>-38272</v>
      </c>
      <c r="E1433" s="2" t="b">
        <f t="shared" ca="1" si="42"/>
        <v>1</v>
      </c>
      <c r="F1433" s="2" cm="1">
        <f t="array" aca="1" ref="F1433" ca="1">IF(G1433&lt;&gt;"",INDIRECT("'"&amp;G1433&amp;"'!"&amp;H1433),"")</f>
        <v>39700</v>
      </c>
      <c r="G1433" s="1582" t="s">
        <v>6960</v>
      </c>
      <c r="H1433" s="2" t="s">
        <v>4996</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6960</v>
      </c>
      <c r="H1434" s="2" t="s">
        <v>4997</v>
      </c>
    </row>
    <row r="1435" spans="1:8" x14ac:dyDescent="0.2">
      <c r="A1435">
        <v>1430</v>
      </c>
      <c r="B1435" s="7">
        <f>'EstExp 12-20'!K258</f>
        <v>39700</v>
      </c>
      <c r="C1435" s="3">
        <f t="shared" si="43"/>
        <v>-38270</v>
      </c>
      <c r="E1435" s="2" t="b">
        <f t="shared" ca="1" si="42"/>
        <v>1</v>
      </c>
      <c r="F1435" s="2" cm="1">
        <f t="array" aca="1" ref="F1435" ca="1">IF(G1435&lt;&gt;"",INDIRECT("'"&amp;G1435&amp;"'!"&amp;H1435),"")</f>
        <v>39700</v>
      </c>
      <c r="G1435" s="1582" t="s">
        <v>6960</v>
      </c>
      <c r="H1435" s="2" t="s">
        <v>4998</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6960</v>
      </c>
      <c r="H1436" s="2" t="s">
        <v>4999</v>
      </c>
    </row>
    <row r="1437" spans="1:8" x14ac:dyDescent="0.2">
      <c r="A1437">
        <v>1432</v>
      </c>
      <c r="B1437" s="7">
        <f>'EstExp 12-20'!K261</f>
        <v>12600</v>
      </c>
      <c r="C1437" s="3">
        <f t="shared" si="43"/>
        <v>-11168</v>
      </c>
      <c r="E1437" s="2" t="b">
        <f t="shared" ca="1" si="42"/>
        <v>1</v>
      </c>
      <c r="F1437" s="2" cm="1">
        <f t="array" aca="1" ref="F1437" ca="1">IF(G1437&lt;&gt;"",INDIRECT("'"&amp;G1437&amp;"'!"&amp;H1437),"")</f>
        <v>12600</v>
      </c>
      <c r="G1437" s="1582" t="s">
        <v>6960</v>
      </c>
      <c r="H1437" s="2" t="s">
        <v>5000</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6960</v>
      </c>
      <c r="H1438" s="2" t="s">
        <v>5001</v>
      </c>
    </row>
    <row r="1439" spans="1:8" x14ac:dyDescent="0.2">
      <c r="A1439">
        <v>1434</v>
      </c>
      <c r="B1439" s="7">
        <f>'EstExp 12-20'!K263</f>
        <v>36500</v>
      </c>
      <c r="C1439" s="3">
        <f t="shared" si="43"/>
        <v>-35066</v>
      </c>
      <c r="E1439" s="2" t="b">
        <f t="shared" ca="1" si="42"/>
        <v>1</v>
      </c>
      <c r="F1439" s="2" cm="1">
        <f t="array" aca="1" ref="F1439" ca="1">IF(G1439&lt;&gt;"",INDIRECT("'"&amp;G1439&amp;"'!"&amp;H1439),"")</f>
        <v>36500</v>
      </c>
      <c r="G1439" s="1582" t="s">
        <v>6960</v>
      </c>
      <c r="H1439" s="2" t="s">
        <v>5002</v>
      </c>
    </row>
    <row r="1440" spans="1:8" x14ac:dyDescent="0.2">
      <c r="A1440">
        <v>1435</v>
      </c>
      <c r="B1440" s="7">
        <f>'EstExp 12-20'!K264</f>
        <v>27850</v>
      </c>
      <c r="C1440" s="3">
        <f t="shared" si="43"/>
        <v>-26415</v>
      </c>
      <c r="E1440" s="2" t="b">
        <f t="shared" ca="1" si="42"/>
        <v>1</v>
      </c>
      <c r="F1440" s="2" cm="1">
        <f t="array" aca="1" ref="F1440" ca="1">IF(G1440&lt;&gt;"",INDIRECT("'"&amp;G1440&amp;"'!"&amp;H1440),"")</f>
        <v>27850</v>
      </c>
      <c r="G1440" s="1582" t="s">
        <v>6960</v>
      </c>
      <c r="H1440" s="2" t="s">
        <v>5003</v>
      </c>
    </row>
    <row r="1441" spans="1:11" x14ac:dyDescent="0.2">
      <c r="A1441">
        <v>1436</v>
      </c>
      <c r="B1441" s="7">
        <f>'EstExp 12-20'!K265</f>
        <v>17800</v>
      </c>
      <c r="C1441" s="3">
        <f t="shared" si="43"/>
        <v>-16364</v>
      </c>
      <c r="E1441" s="2" t="b">
        <f t="shared" ca="1" si="42"/>
        <v>1</v>
      </c>
      <c r="F1441" s="2" cm="1">
        <f t="array" aca="1" ref="F1441" ca="1">IF(G1441&lt;&gt;"",INDIRECT("'"&amp;G1441&amp;"'!"&amp;H1441),"")</f>
        <v>17800</v>
      </c>
      <c r="G1441" s="1582" t="s">
        <v>6960</v>
      </c>
      <c r="H1441" s="2" t="s">
        <v>5004</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6960</v>
      </c>
      <c r="H1442" s="2" t="s">
        <v>5005</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94750</v>
      </c>
      <c r="C1444" s="3">
        <f t="shared" si="43"/>
        <v>-93311</v>
      </c>
      <c r="E1444" s="2" t="b">
        <f t="shared" ca="1" si="42"/>
        <v>1</v>
      </c>
      <c r="F1444" s="2" cm="1">
        <f t="array" aca="1" ref="F1444" ca="1">IF(G1444&lt;&gt;"",INDIRECT("'"&amp;G1444&amp;"'!"&amp;H1444),"")</f>
        <v>94750</v>
      </c>
      <c r="G1444" s="1582" t="s">
        <v>6960</v>
      </c>
      <c r="H1444" s="2" t="s">
        <v>5006</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6960</v>
      </c>
      <c r="H1445" s="2" t="s">
        <v>5007</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6960</v>
      </c>
      <c r="H1446" s="2" t="s">
        <v>5008</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6960</v>
      </c>
      <c r="H1447" s="2" t="s">
        <v>5009</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6960</v>
      </c>
      <c r="H1448" s="2" t="s">
        <v>5010</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6960</v>
      </c>
      <c r="H1450" s="2" t="s">
        <v>5011</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6960</v>
      </c>
      <c r="H1452" s="2" t="s">
        <v>5012</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6960</v>
      </c>
      <c r="H1453" s="2" t="s">
        <v>5013</v>
      </c>
    </row>
    <row r="1454" spans="1:11" x14ac:dyDescent="0.2">
      <c r="A1454">
        <v>1449</v>
      </c>
      <c r="B1454" s="7">
        <f>'EstExp 12-20'!K276</f>
        <v>141300</v>
      </c>
      <c r="C1454" s="3">
        <f t="shared" si="43"/>
        <v>-139851</v>
      </c>
      <c r="E1454" s="2" t="b">
        <f t="shared" ca="1" si="42"/>
        <v>1</v>
      </c>
      <c r="F1454" s="2" cm="1">
        <f t="array" aca="1" ref="F1454" ca="1">IF(G1454&lt;&gt;"",INDIRECT("'"&amp;G1454&amp;"'!"&amp;H1454),"")</f>
        <v>141300</v>
      </c>
      <c r="G1454" s="1582" t="s">
        <v>6960</v>
      </c>
      <c r="H1454" s="2" t="s">
        <v>5014</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6960</v>
      </c>
      <c r="H1455" s="2" t="s">
        <v>5015</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6960</v>
      </c>
      <c r="H1456" s="2" t="s">
        <v>5016</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6960</v>
      </c>
      <c r="H1457" s="2" t="s">
        <v>5017</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6960</v>
      </c>
      <c r="H1458" s="2" t="s">
        <v>5018</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6960</v>
      </c>
      <c r="H1459" s="2" t="s">
        <v>5019</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206000</v>
      </c>
      <c r="C1461" s="3">
        <f t="shared" si="43"/>
        <v>-204544</v>
      </c>
      <c r="E1461" s="2" t="b">
        <f t="shared" ca="1" si="42"/>
        <v>1</v>
      </c>
      <c r="F1461" s="2" cm="1">
        <f t="array" aca="1" ref="F1461" ca="1">IF(G1461&lt;&gt;"",INDIRECT("'"&amp;G1461&amp;"'!"&amp;H1461),"")</f>
        <v>206000</v>
      </c>
      <c r="G1461" s="1582" t="s">
        <v>6960</v>
      </c>
      <c r="H1461" s="2" t="s">
        <v>5020</v>
      </c>
    </row>
    <row r="1462" spans="1:11" x14ac:dyDescent="0.2">
      <c r="A1462">
        <v>1457</v>
      </c>
      <c r="B1462" s="7">
        <f>'EstExp 12-20'!K293</f>
        <v>0</v>
      </c>
      <c r="C1462" s="3">
        <f t="shared" si="43"/>
        <v>1457</v>
      </c>
      <c r="E1462" s="2" t="b">
        <f t="shared" ca="1" si="42"/>
        <v>1</v>
      </c>
      <c r="F1462" s="2" cm="1">
        <f t="array" aca="1" ref="F1462" ca="1">IF(G1462&lt;&gt;"",INDIRECT("'"&amp;G1462&amp;"'!"&amp;H1462),"")</f>
        <v>0</v>
      </c>
      <c r="G1462" s="1582" t="s">
        <v>6960</v>
      </c>
      <c r="H1462" s="2" t="s">
        <v>5021</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6960</v>
      </c>
      <c r="H1463" s="2" t="s">
        <v>5022</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6960</v>
      </c>
      <c r="H1466" s="2" t="s">
        <v>5023</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6960</v>
      </c>
      <c r="H1467" s="2" t="s">
        <v>5024</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6960</v>
      </c>
      <c r="H1468" s="2" t="s">
        <v>5025</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6960</v>
      </c>
      <c r="H1469" s="2" t="s">
        <v>5026</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6960</v>
      </c>
      <c r="H1472" s="2" t="s">
        <v>5027</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6960</v>
      </c>
      <c r="H1473" s="2" t="s">
        <v>5028</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6960</v>
      </c>
      <c r="H1474" s="2" t="s">
        <v>5029</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6960</v>
      </c>
      <c r="H1475" s="2" t="s">
        <v>5030</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6960</v>
      </c>
      <c r="H1478" s="2" t="s">
        <v>5031</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6960</v>
      </c>
      <c r="H1479" s="2" t="s">
        <v>5032</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6960</v>
      </c>
      <c r="H1480" s="2" t="s">
        <v>5033</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6960</v>
      </c>
      <c r="H1481" s="2" t="s">
        <v>5034</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6960</v>
      </c>
      <c r="H1484" s="2" t="s">
        <v>5035</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6960</v>
      </c>
      <c r="H1485" s="2" t="s">
        <v>5036</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6960</v>
      </c>
      <c r="H1486" s="2" t="s">
        <v>5037</v>
      </c>
    </row>
    <row r="1487" spans="1:11" x14ac:dyDescent="0.2">
      <c r="A1487">
        <v>1482</v>
      </c>
      <c r="B1487" s="7">
        <f>'EstExp 12-20'!G298</f>
        <v>0</v>
      </c>
      <c r="C1487" s="3">
        <f t="shared" si="45"/>
        <v>1482</v>
      </c>
      <c r="E1487" s="2" t="b">
        <f t="shared" ca="1" si="44"/>
        <v>1</v>
      </c>
      <c r="F1487" s="2" cm="1">
        <f t="array" aca="1" ref="F1487" ca="1">IF(G1487&lt;&gt;"",INDIRECT("'"&amp;G1487&amp;"'!"&amp;H1487),"")</f>
        <v>0</v>
      </c>
      <c r="G1487" s="1582" t="s">
        <v>6960</v>
      </c>
      <c r="H1487" s="2" t="s">
        <v>5038</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6960</v>
      </c>
      <c r="H1490" s="2" t="s">
        <v>5039</v>
      </c>
    </row>
    <row r="1491" spans="1:11" x14ac:dyDescent="0.2">
      <c r="A1491">
        <v>1486</v>
      </c>
      <c r="B1491" s="7">
        <f>'EstExp 12-20'!G300</f>
        <v>0</v>
      </c>
      <c r="C1491" s="3">
        <f t="shared" si="45"/>
        <v>1486</v>
      </c>
      <c r="E1491" s="2" t="b">
        <f t="shared" ca="1" si="44"/>
        <v>1</v>
      </c>
      <c r="F1491" s="2" cm="1">
        <f t="array" aca="1" ref="F1491" ca="1">IF(G1491&lt;&gt;"",INDIRECT("'"&amp;G1491&amp;"'!"&amp;H1491),"")</f>
        <v>0</v>
      </c>
      <c r="G1491" s="1582" t="s">
        <v>6960</v>
      </c>
      <c r="H1491" s="2" t="s">
        <v>5040</v>
      </c>
    </row>
    <row r="1492" spans="1:11" x14ac:dyDescent="0.2">
      <c r="A1492">
        <v>1487</v>
      </c>
      <c r="B1492" s="7">
        <f>'EstExp 12-20'!G309</f>
        <v>0</v>
      </c>
      <c r="C1492" s="3">
        <f t="shared" si="45"/>
        <v>1487</v>
      </c>
      <c r="E1492" s="2" t="b">
        <f t="shared" ca="1" si="44"/>
        <v>1</v>
      </c>
      <c r="F1492" s="2" cm="1">
        <f t="array" aca="1" ref="F1492" ca="1">IF(G1492&lt;&gt;"",INDIRECT("'"&amp;G1492&amp;"'!"&amp;H1492),"")</f>
        <v>0</v>
      </c>
      <c r="G1492" s="1582" t="s">
        <v>6960</v>
      </c>
      <c r="H1492" s="2" t="s">
        <v>5041</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6960</v>
      </c>
      <c r="H1493" s="2" t="s">
        <v>5042</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6960</v>
      </c>
      <c r="H1496" s="2" t="s">
        <v>5043</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6960</v>
      </c>
      <c r="H1497" s="2" t="s">
        <v>5044</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6960</v>
      </c>
      <c r="H1498" s="2" t="s">
        <v>5045</v>
      </c>
    </row>
    <row r="1499" spans="1:11" x14ac:dyDescent="0.2">
      <c r="A1499">
        <v>1494</v>
      </c>
      <c r="B1499" s="7">
        <f>'EstExp 12-20'!K298</f>
        <v>0</v>
      </c>
      <c r="C1499" s="3">
        <f t="shared" si="45"/>
        <v>1494</v>
      </c>
      <c r="E1499" s="2" t="b">
        <f t="shared" ca="1" si="44"/>
        <v>1</v>
      </c>
      <c r="F1499" s="2" cm="1">
        <f t="array" aca="1" ref="F1499" ca="1">IF(G1499&lt;&gt;"",INDIRECT("'"&amp;G1499&amp;"'!"&amp;H1499),"")</f>
        <v>0</v>
      </c>
      <c r="G1499" s="1582" t="s">
        <v>6960</v>
      </c>
      <c r="H1499" s="2" t="s">
        <v>5046</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6960</v>
      </c>
      <c r="H1502" s="2" t="s">
        <v>5047</v>
      </c>
    </row>
    <row r="1503" spans="1:11" x14ac:dyDescent="0.2">
      <c r="A1503">
        <v>1498</v>
      </c>
      <c r="B1503" s="7">
        <f>'EstExp 12-20'!K300</f>
        <v>0</v>
      </c>
      <c r="C1503" s="3">
        <f t="shared" si="45"/>
        <v>1498</v>
      </c>
      <c r="E1503" s="2" t="b">
        <f t="shared" ca="1" si="44"/>
        <v>1</v>
      </c>
      <c r="F1503" s="2" cm="1">
        <f t="array" aca="1" ref="F1503" ca="1">IF(G1503&lt;&gt;"",INDIRECT("'"&amp;G1503&amp;"'!"&amp;H1503),"")</f>
        <v>0</v>
      </c>
      <c r="G1503" s="1582" t="s">
        <v>6960</v>
      </c>
      <c r="H1503" s="2" t="s">
        <v>5048</v>
      </c>
    </row>
    <row r="1504" spans="1:11" x14ac:dyDescent="0.2">
      <c r="A1504">
        <v>1499</v>
      </c>
      <c r="B1504" s="7">
        <f>'EstExp 12-20'!K309</f>
        <v>0</v>
      </c>
      <c r="C1504" s="3">
        <f t="shared" si="45"/>
        <v>1499</v>
      </c>
      <c r="E1504" s="2" t="b">
        <f t="shared" ca="1" si="44"/>
        <v>1</v>
      </c>
      <c r="F1504" s="2" cm="1">
        <f t="array" aca="1" ref="F1504" ca="1">IF(G1504&lt;&gt;"",INDIRECT("'"&amp;G1504&amp;"'!"&amp;H1504),"")</f>
        <v>0</v>
      </c>
      <c r="G1504" s="1582" t="s">
        <v>6960</v>
      </c>
      <c r="H1504" s="2" t="s">
        <v>5049</v>
      </c>
    </row>
    <row r="1505" spans="1:11" x14ac:dyDescent="0.2">
      <c r="A1505">
        <v>1500</v>
      </c>
      <c r="B1505" s="7">
        <f>'EstExp 12-20'!K310</f>
        <v>0</v>
      </c>
      <c r="C1505" s="3">
        <f t="shared" si="45"/>
        <v>1500</v>
      </c>
      <c r="E1505" s="2" t="b">
        <f t="shared" ca="1" si="44"/>
        <v>1</v>
      </c>
      <c r="F1505" s="2" cm="1">
        <f t="array" aca="1" ref="F1505" ca="1">IF(G1505&lt;&gt;"",INDIRECT("'"&amp;G1505&amp;"'!"&amp;H1505),"")</f>
        <v>0</v>
      </c>
      <c r="G1505" s="1582" t="s">
        <v>6960</v>
      </c>
      <c r="H1505" s="2" t="s">
        <v>5050</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5936882</v>
      </c>
      <c r="C1561" s="3">
        <f t="shared" ref="C1561:C1603" si="47">A1561-B1561</f>
        <v>-5935326</v>
      </c>
      <c r="E1561" s="2" t="b">
        <f t="shared" ca="1" si="46"/>
        <v>1</v>
      </c>
      <c r="F1561" s="2" cm="1">
        <f t="array" aca="1" ref="F1561" ca="1">IF(G1561&lt;&gt;"",INDIRECT("'"&amp;G1561&amp;"'!"&amp;H1561),"")</f>
        <v>5936882</v>
      </c>
      <c r="G1561" s="1582" t="s">
        <v>6958</v>
      </c>
      <c r="H1561" s="2" t="s">
        <v>5051</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5936882</v>
      </c>
      <c r="C1574" s="3">
        <f t="shared" si="47"/>
        <v>-5935313</v>
      </c>
      <c r="E1574" s="2" t="b">
        <f t="shared" ca="1" si="46"/>
        <v>1</v>
      </c>
      <c r="F1574" s="2" cm="1">
        <f t="array" aca="1" ref="F1574" ca="1">IF(G1574&lt;&gt;"",INDIRECT("'"&amp;G1574&amp;"'!"&amp;H1574),"")</f>
        <v>5936882</v>
      </c>
      <c r="G1574" s="1582" t="s">
        <v>6958</v>
      </c>
      <c r="H1574" s="2" t="s">
        <v>5052</v>
      </c>
    </row>
    <row r="1575" spans="1:11" x14ac:dyDescent="0.2">
      <c r="A1575">
        <v>1570</v>
      </c>
      <c r="B1575" s="7">
        <f>'BudgetSum 2-4'!D3</f>
        <v>1109562</v>
      </c>
      <c r="C1575" s="3">
        <f t="shared" si="47"/>
        <v>-1107992</v>
      </c>
      <c r="E1575" s="2" t="b">
        <f t="shared" ca="1" si="46"/>
        <v>1</v>
      </c>
      <c r="F1575" s="2" cm="1">
        <f t="array" aca="1" ref="F1575" ca="1">IF(G1575&lt;&gt;"",INDIRECT("'"&amp;G1575&amp;"'!"&amp;H1575),"")</f>
        <v>1109562</v>
      </c>
      <c r="G1575" s="1582" t="s">
        <v>6958</v>
      </c>
      <c r="H1575" s="2" t="s">
        <v>5053</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1109562</v>
      </c>
      <c r="C1588" s="3">
        <f t="shared" si="47"/>
        <v>-1107979</v>
      </c>
      <c r="E1588" s="2" t="b">
        <f t="shared" ca="1" si="46"/>
        <v>1</v>
      </c>
      <c r="F1588" s="2" cm="1">
        <f t="array" aca="1" ref="F1588" ca="1">IF(G1588&lt;&gt;"",INDIRECT("'"&amp;G1588&amp;"'!"&amp;H1588),"")</f>
        <v>1109562</v>
      </c>
      <c r="G1588" s="1582" t="s">
        <v>6958</v>
      </c>
      <c r="H1588" s="2" t="s">
        <v>5054</v>
      </c>
    </row>
    <row r="1589" spans="1:11" x14ac:dyDescent="0.2">
      <c r="A1589">
        <v>1584</v>
      </c>
      <c r="B1589" s="7">
        <f>'BudgetSum 2-4'!E3</f>
        <v>140269</v>
      </c>
      <c r="C1589" s="3">
        <f t="shared" si="47"/>
        <v>-138685</v>
      </c>
      <c r="E1589" s="2" t="b">
        <f t="shared" ca="1" si="46"/>
        <v>1</v>
      </c>
      <c r="F1589" s="2" cm="1">
        <f t="array" aca="1" ref="F1589" ca="1">IF(G1589&lt;&gt;"",INDIRECT("'"&amp;G1589&amp;"'!"&amp;H1589),"")</f>
        <v>140269</v>
      </c>
      <c r="G1589" s="1582" t="s">
        <v>6958</v>
      </c>
      <c r="H1589" s="2" t="s">
        <v>5055</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140269</v>
      </c>
      <c r="C1602" s="3">
        <f t="shared" si="47"/>
        <v>-138672</v>
      </c>
      <c r="E1602" s="2" t="b">
        <f t="shared" ref="E1602:E1665" ca="1" si="48">F1602=B1602</f>
        <v>1</v>
      </c>
      <c r="F1602" s="2" cm="1">
        <f t="array" aca="1" ref="F1602" ca="1">IF(G1602&lt;&gt;"",INDIRECT("'"&amp;G1602&amp;"'!"&amp;H1602),"")</f>
        <v>140269</v>
      </c>
      <c r="G1602" s="1582" t="s">
        <v>6958</v>
      </c>
      <c r="H1602" s="2" t="s">
        <v>5056</v>
      </c>
    </row>
    <row r="1603" spans="1:11" x14ac:dyDescent="0.2">
      <c r="A1603">
        <v>1598</v>
      </c>
      <c r="B1603" s="7">
        <f>'BudgetSum 2-4'!F3</f>
        <v>489804</v>
      </c>
      <c r="C1603" s="3">
        <f t="shared" si="47"/>
        <v>-488206</v>
      </c>
      <c r="E1603" s="2" t="b">
        <f t="shared" ca="1" si="48"/>
        <v>1</v>
      </c>
      <c r="F1603" s="2" cm="1">
        <f t="array" aca="1" ref="F1603" ca="1">IF(G1603&lt;&gt;"",INDIRECT("'"&amp;G1603&amp;"'!"&amp;H1603),"")</f>
        <v>489804</v>
      </c>
      <c r="G1603" s="1582" t="s">
        <v>6958</v>
      </c>
      <c r="H1603" s="2" t="s">
        <v>5057</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448804</v>
      </c>
      <c r="C1616" s="3">
        <f t="shared" ref="C1616:C1644" si="49">A1616-B1616</f>
        <v>-447193</v>
      </c>
      <c r="E1616" s="2" t="b">
        <f t="shared" ca="1" si="48"/>
        <v>1</v>
      </c>
      <c r="F1616" s="2" cm="1">
        <f t="array" aca="1" ref="F1616" ca="1">IF(G1616&lt;&gt;"",INDIRECT("'"&amp;G1616&amp;"'!"&amp;H1616),"")</f>
        <v>448804</v>
      </c>
      <c r="G1616" s="1582" t="s">
        <v>6958</v>
      </c>
      <c r="H1616" s="2" t="s">
        <v>5058</v>
      </c>
    </row>
    <row r="1617" spans="1:11" x14ac:dyDescent="0.2">
      <c r="A1617">
        <v>1612</v>
      </c>
      <c r="B1617" s="7">
        <f>'BudgetSum 2-4'!G3</f>
        <v>153257</v>
      </c>
      <c r="C1617" s="3">
        <f t="shared" si="49"/>
        <v>-151645</v>
      </c>
      <c r="E1617" s="2" t="b">
        <f t="shared" ca="1" si="48"/>
        <v>1</v>
      </c>
      <c r="F1617" s="2" cm="1">
        <f t="array" aca="1" ref="F1617" ca="1">IF(G1617&lt;&gt;"",INDIRECT("'"&amp;G1617&amp;"'!"&amp;H1617),"")</f>
        <v>153257</v>
      </c>
      <c r="G1617" s="1582" t="s">
        <v>6958</v>
      </c>
      <c r="H1617" s="2" t="s">
        <v>5059</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153257</v>
      </c>
      <c r="C1630" s="3">
        <f t="shared" si="49"/>
        <v>-151632</v>
      </c>
      <c r="E1630" s="2" t="b">
        <f t="shared" ca="1" si="48"/>
        <v>1</v>
      </c>
      <c r="F1630" s="2" cm="1">
        <f t="array" aca="1" ref="F1630" ca="1">IF(G1630&lt;&gt;"",INDIRECT("'"&amp;G1630&amp;"'!"&amp;H1630),"")</f>
        <v>153257</v>
      </c>
      <c r="G1630" s="1582" t="s">
        <v>6958</v>
      </c>
      <c r="H1630" s="2" t="s">
        <v>5060</v>
      </c>
    </row>
    <row r="1631" spans="1:11" x14ac:dyDescent="0.2">
      <c r="A1631">
        <v>1626</v>
      </c>
      <c r="B1631" s="7">
        <f>'BudgetSum 2-4'!H3</f>
        <v>0</v>
      </c>
      <c r="C1631" s="3">
        <f t="shared" si="49"/>
        <v>1626</v>
      </c>
      <c r="E1631" s="2" t="b">
        <f t="shared" ca="1" si="48"/>
        <v>1</v>
      </c>
      <c r="F1631" s="2" cm="1">
        <f t="array" aca="1" ref="F1631" ca="1">IF(G1631&lt;&gt;"",INDIRECT("'"&amp;G1631&amp;"'!"&amp;H1631),"")</f>
        <v>0</v>
      </c>
      <c r="G1631" s="1582" t="s">
        <v>6958</v>
      </c>
      <c r="H1631" s="2" t="s">
        <v>5061</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0</v>
      </c>
      <c r="C1644" s="3">
        <f t="shared" si="49"/>
        <v>1639</v>
      </c>
      <c r="E1644" s="2" t="b">
        <f t="shared" ca="1" si="48"/>
        <v>1</v>
      </c>
      <c r="F1644" s="2" cm="1">
        <f t="array" aca="1" ref="F1644" ca="1">IF(G1644&lt;&gt;"",INDIRECT("'"&amp;G1644&amp;"'!"&amp;H1644),"")</f>
        <v>0</v>
      </c>
      <c r="G1644" s="1582" t="s">
        <v>6958</v>
      </c>
      <c r="H1644" s="2" t="s">
        <v>5062</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26000</v>
      </c>
      <c r="C2025" s="3">
        <f t="shared" ref="C2025:C2050" si="56">A2025-B2025</f>
        <v>-23980</v>
      </c>
      <c r="E2025" s="2" t="b">
        <f t="shared" ca="1" si="55"/>
        <v>1</v>
      </c>
      <c r="F2025" s="2" cm="1">
        <f t="array" aca="1" ref="F2025" ca="1">IF(G2025&lt;&gt;"",INDIRECT("'"&amp;G2025&amp;"'!"&amp;H2025),"")</f>
        <v>26000</v>
      </c>
      <c r="G2025" s="1582" t="s">
        <v>6960</v>
      </c>
      <c r="H2025" s="2" t="s">
        <v>5063</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6960</v>
      </c>
      <c r="H2031" s="2" t="s">
        <v>5064</v>
      </c>
      <c r="S2031" s="8"/>
    </row>
    <row r="2032" spans="1:19" x14ac:dyDescent="0.2">
      <c r="A2032">
        <v>2027</v>
      </c>
      <c r="B2032" s="7">
        <f>'EstExp 12-20'!K86</f>
        <v>26000</v>
      </c>
      <c r="C2032" s="3">
        <f t="shared" si="56"/>
        <v>-23973</v>
      </c>
      <c r="E2032" s="2" t="b">
        <f t="shared" ca="1" si="55"/>
        <v>1</v>
      </c>
      <c r="F2032" s="2" cm="1">
        <f t="array" aca="1" ref="F2032" ca="1">IF(G2032&lt;&gt;"",INDIRECT("'"&amp;G2032&amp;"'!"&amp;H2032),"")</f>
        <v>26000</v>
      </c>
      <c r="G2032" s="1582" t="s">
        <v>6960</v>
      </c>
      <c r="H2032" s="2" t="s">
        <v>5065</v>
      </c>
    </row>
    <row r="2033" spans="1:19" x14ac:dyDescent="0.2">
      <c r="A2033">
        <v>2028</v>
      </c>
      <c r="B2033" s="7">
        <f>'EstExp 12-20'!K94</f>
        <v>726800</v>
      </c>
      <c r="C2033" s="3">
        <f t="shared" si="56"/>
        <v>-724772</v>
      </c>
      <c r="E2033" s="2" t="b">
        <f t="shared" ca="1" si="55"/>
        <v>1</v>
      </c>
      <c r="F2033" s="2" cm="1">
        <f t="array" aca="1" ref="F2033" ca="1">IF(G2033&lt;&gt;"",INDIRECT("'"&amp;G2033&amp;"'!"&amp;H2033),"")</f>
        <v>726800</v>
      </c>
      <c r="G2033" s="1582" t="s">
        <v>6960</v>
      </c>
      <c r="H2033" s="2" t="s">
        <v>5066</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6960</v>
      </c>
      <c r="H2034" s="2" t="s">
        <v>5067</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6960</v>
      </c>
      <c r="H2035" s="2" t="s">
        <v>5068</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6960</v>
      </c>
      <c r="H2036" s="2" t="s">
        <v>5069</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6960</v>
      </c>
      <c r="H2037" s="2" t="s">
        <v>5070</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6960</v>
      </c>
      <c r="H2038" s="2" t="s">
        <v>5071</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6960</v>
      </c>
      <c r="H2046" s="2" t="s">
        <v>5072</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6958</v>
      </c>
      <c r="H2049" s="2" t="s">
        <v>5073</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6958</v>
      </c>
      <c r="H2050" s="2" t="s">
        <v>5074</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4133500</v>
      </c>
      <c r="C2495" s="3">
        <f t="shared" ref="C2495:C2503" si="64">A2495-B2495</f>
        <v>-4131010</v>
      </c>
      <c r="E2495" s="2" t="b">
        <f t="shared" ca="1" si="63"/>
        <v>1</v>
      </c>
      <c r="F2495" s="2" cm="1">
        <f t="array" aca="1" ref="F2495" ca="1">IF(G2495&lt;&gt;"",INDIRECT("'"&amp;G2495&amp;"'!"&amp;H2495),"")</f>
        <v>4133500</v>
      </c>
      <c r="G2495" s="1582" t="s">
        <v>6958</v>
      </c>
      <c r="H2495" s="2" t="s">
        <v>4532</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885300</v>
      </c>
      <c r="C2497" s="3">
        <f t="shared" si="64"/>
        <v>-882808</v>
      </c>
      <c r="E2497" s="2" t="b">
        <f t="shared" ca="1" si="63"/>
        <v>1</v>
      </c>
      <c r="F2497" s="2" cm="1">
        <f t="array" aca="1" ref="F2497" ca="1">IF(G2497&lt;&gt;"",INDIRECT("'"&amp;G2497&amp;"'!"&amp;H2497),"")</f>
        <v>885300</v>
      </c>
      <c r="G2497" s="1582" t="s">
        <v>6958</v>
      </c>
      <c r="H2497" s="2" t="s">
        <v>4419</v>
      </c>
    </row>
    <row r="2498" spans="1:11" x14ac:dyDescent="0.2">
      <c r="A2498">
        <v>2493</v>
      </c>
      <c r="B2498" s="7">
        <f>'BudgetSum 2-4'!C8</f>
        <v>467700</v>
      </c>
      <c r="C2498" s="3">
        <f t="shared" si="64"/>
        <v>-465207</v>
      </c>
      <c r="E2498" s="2" t="b">
        <f t="shared" ref="E2498:E2561" ca="1" si="65">F2498=B2498</f>
        <v>1</v>
      </c>
      <c r="F2498" s="2" cm="1">
        <f t="array" aca="1" ref="F2498" ca="1">IF(G2498&lt;&gt;"",INDIRECT("'"&amp;G2498&amp;"'!"&amp;H2498),"")</f>
        <v>467700</v>
      </c>
      <c r="G2498" s="1582" t="s">
        <v>6958</v>
      </c>
      <c r="H2498" s="2" t="s">
        <v>4427</v>
      </c>
    </row>
    <row r="2499" spans="1:11" x14ac:dyDescent="0.2">
      <c r="A2499">
        <v>2494</v>
      </c>
      <c r="B2499" s="7">
        <f>'BudgetSum 2-4'!C9</f>
        <v>5486500</v>
      </c>
      <c r="C2499" s="3">
        <f t="shared" si="64"/>
        <v>-5484006</v>
      </c>
      <c r="E2499" s="2" t="b">
        <f t="shared" ca="1" si="65"/>
        <v>1</v>
      </c>
      <c r="F2499" s="2" cm="1">
        <f t="array" aca="1" ref="F2499" ca="1">IF(G2499&lt;&gt;"",INDIRECT("'"&amp;G2499&amp;"'!"&amp;H2499),"")</f>
        <v>5486500</v>
      </c>
      <c r="G2499" s="1582" t="s">
        <v>6958</v>
      </c>
      <c r="H2499" s="2" t="s">
        <v>5075</v>
      </c>
    </row>
    <row r="2500" spans="1:11" x14ac:dyDescent="0.2">
      <c r="A2500">
        <v>2495</v>
      </c>
      <c r="B2500" s="7">
        <f>'BudgetSum 2-4'!C13</f>
        <v>3191350</v>
      </c>
      <c r="C2500" s="3">
        <f t="shared" si="64"/>
        <v>-3188855</v>
      </c>
      <c r="E2500" s="2" t="b">
        <f t="shared" ca="1" si="65"/>
        <v>1</v>
      </c>
      <c r="F2500" s="2" cm="1">
        <f t="array" aca="1" ref="F2500" ca="1">IF(G2500&lt;&gt;"",INDIRECT("'"&amp;G2500&amp;"'!"&amp;H2500),"")</f>
        <v>3191350</v>
      </c>
      <c r="G2500" s="1582" t="s">
        <v>6958</v>
      </c>
      <c r="H2500" s="2" t="s">
        <v>4423</v>
      </c>
    </row>
    <row r="2501" spans="1:11" x14ac:dyDescent="0.2">
      <c r="A2501">
        <v>2496</v>
      </c>
      <c r="B2501" s="7">
        <f>'BudgetSum 2-4'!C14</f>
        <v>1542350</v>
      </c>
      <c r="C2501" s="3">
        <f t="shared" si="64"/>
        <v>-1539854</v>
      </c>
      <c r="E2501" s="2" t="b">
        <f t="shared" ca="1" si="65"/>
        <v>1</v>
      </c>
      <c r="F2501" s="2" cm="1">
        <f t="array" aca="1" ref="F2501" ca="1">IF(G2501&lt;&gt;"",INDIRECT("'"&amp;G2501&amp;"'!"&amp;H2501),"")</f>
        <v>1542350</v>
      </c>
      <c r="G2501" s="1582" t="s">
        <v>6958</v>
      </c>
      <c r="H2501" s="2" t="s">
        <v>4533</v>
      </c>
    </row>
    <row r="2502" spans="1:11" x14ac:dyDescent="0.2">
      <c r="A2502">
        <v>2497</v>
      </c>
      <c r="B2502" s="7">
        <f>'BudgetSum 2-4'!C15</f>
        <v>0</v>
      </c>
      <c r="C2502" s="3">
        <f t="shared" si="64"/>
        <v>2497</v>
      </c>
      <c r="E2502" s="2" t="b">
        <f t="shared" ca="1" si="65"/>
        <v>1</v>
      </c>
      <c r="F2502" s="2" cm="1">
        <f t="array" aca="1" ref="F2502" ca="1">IF(G2502&lt;&gt;"",INDIRECT("'"&amp;G2502&amp;"'!"&amp;H2502),"")</f>
        <v>0</v>
      </c>
      <c r="G2502" s="1582" t="s">
        <v>6958</v>
      </c>
      <c r="H2502" s="2" t="s">
        <v>4424</v>
      </c>
    </row>
    <row r="2503" spans="1:11" x14ac:dyDescent="0.2">
      <c r="A2503">
        <v>2498</v>
      </c>
      <c r="B2503" s="7">
        <f>'BudgetSum 2-4'!C16</f>
        <v>752800</v>
      </c>
      <c r="C2503" s="3">
        <f t="shared" si="64"/>
        <v>-750302</v>
      </c>
      <c r="E2503" s="2" t="b">
        <f t="shared" ca="1" si="65"/>
        <v>1</v>
      </c>
      <c r="F2503" s="2" cm="1">
        <f t="array" aca="1" ref="F2503" ca="1">IF(G2503&lt;&gt;"",INDIRECT("'"&amp;G2503&amp;"'!"&amp;H2503),"")</f>
        <v>752800</v>
      </c>
      <c r="G2503" s="1582" t="s">
        <v>6958</v>
      </c>
      <c r="H2503" s="2" t="s">
        <v>4425</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6958</v>
      </c>
      <c r="H2504" s="2" t="s">
        <v>4426</v>
      </c>
    </row>
    <row r="2505" spans="1:11" x14ac:dyDescent="0.2">
      <c r="A2505">
        <v>2500</v>
      </c>
      <c r="B2505" s="7">
        <f>'BudgetSum 2-4'!C19</f>
        <v>5486500</v>
      </c>
      <c r="C2505" s="3">
        <f t="shared" si="66"/>
        <v>-5484000</v>
      </c>
      <c r="E2505" s="2" t="b">
        <f t="shared" ca="1" si="65"/>
        <v>1</v>
      </c>
      <c r="F2505" s="2" cm="1">
        <f t="array" aca="1" ref="F2505" ca="1">IF(G2505&lt;&gt;"",INDIRECT("'"&amp;G2505&amp;"'!"&amp;H2505),"")</f>
        <v>5486500</v>
      </c>
      <c r="G2505" s="1582" t="s">
        <v>6958</v>
      </c>
      <c r="H2505" s="2" t="s">
        <v>4428</v>
      </c>
    </row>
    <row r="2506" spans="1:11" x14ac:dyDescent="0.2">
      <c r="A2506">
        <v>2501</v>
      </c>
      <c r="B2506" s="7">
        <f>'BudgetSum 2-4'!C22</f>
        <v>0</v>
      </c>
      <c r="C2506" s="3">
        <f t="shared" si="66"/>
        <v>2501</v>
      </c>
      <c r="E2506" s="2" t="b">
        <f t="shared" ca="1" si="65"/>
        <v>1</v>
      </c>
      <c r="F2506" s="2" cm="1">
        <f t="array" aca="1" ref="F2506" ca="1">IF(G2506&lt;&gt;"",INDIRECT("'"&amp;G2506&amp;"'!"&amp;H2506),"")</f>
        <v>0</v>
      </c>
      <c r="G2506" s="1582" t="s">
        <v>6958</v>
      </c>
      <c r="H2506" s="2" t="s">
        <v>5076</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650781</v>
      </c>
      <c r="C2508" s="3">
        <f t="shared" si="66"/>
        <v>-648278</v>
      </c>
      <c r="E2508" s="2" t="b">
        <f t="shared" ca="1" si="65"/>
        <v>1</v>
      </c>
      <c r="F2508" s="2" cm="1">
        <f t="array" aca="1" ref="F2508" ca="1">IF(G2508&lt;&gt;"",INDIRECT("'"&amp;G2508&amp;"'!"&amp;H2508),"")</f>
        <v>650781</v>
      </c>
      <c r="G2508" s="1582" t="s">
        <v>6958</v>
      </c>
      <c r="H2508" s="2" t="s">
        <v>4569</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0</v>
      </c>
      <c r="C2510" s="3">
        <f t="shared" si="66"/>
        <v>2505</v>
      </c>
      <c r="E2510" s="2" t="b">
        <f t="shared" ca="1" si="65"/>
        <v>1</v>
      </c>
      <c r="F2510" s="2" cm="1">
        <f t="array" aca="1" ref="F2510" ca="1">IF(G2510&lt;&gt;"",INDIRECT("'"&amp;G2510&amp;"'!"&amp;H2510),"")</f>
        <v>0</v>
      </c>
      <c r="G2510" s="1582" t="s">
        <v>6958</v>
      </c>
      <c r="H2510" s="2" t="s">
        <v>4432</v>
      </c>
    </row>
    <row r="2511" spans="1:11" x14ac:dyDescent="0.2">
      <c r="A2511">
        <v>2506</v>
      </c>
      <c r="B2511" s="7">
        <f>'BudgetSum 2-4'!D8</f>
        <v>0</v>
      </c>
      <c r="C2511" s="3">
        <f t="shared" si="66"/>
        <v>2506</v>
      </c>
      <c r="E2511" s="2" t="b">
        <f t="shared" ca="1" si="65"/>
        <v>1</v>
      </c>
      <c r="F2511" s="2" cm="1">
        <f t="array" aca="1" ref="F2511" ca="1">IF(G2511&lt;&gt;"",INDIRECT("'"&amp;G2511&amp;"'!"&amp;H2511),"")</f>
        <v>0</v>
      </c>
      <c r="G2511" s="1582" t="s">
        <v>6958</v>
      </c>
      <c r="H2511" s="2" t="s">
        <v>4449</v>
      </c>
    </row>
    <row r="2512" spans="1:11" x14ac:dyDescent="0.2">
      <c r="A2512">
        <v>2507</v>
      </c>
      <c r="B2512" s="7">
        <f>'BudgetSum 2-4'!D9</f>
        <v>650781</v>
      </c>
      <c r="C2512" s="3">
        <f t="shared" si="66"/>
        <v>-648274</v>
      </c>
      <c r="E2512" s="2" t="b">
        <f t="shared" ca="1" si="65"/>
        <v>1</v>
      </c>
      <c r="F2512" s="2" cm="1">
        <f t="array" aca="1" ref="F2512" ca="1">IF(G2512&lt;&gt;"",INDIRECT("'"&amp;G2512&amp;"'!"&amp;H2512),"")</f>
        <v>650781</v>
      </c>
      <c r="G2512" s="1582" t="s">
        <v>6958</v>
      </c>
      <c r="H2512" s="2" t="s">
        <v>5077</v>
      </c>
    </row>
    <row r="2513" spans="1:11" x14ac:dyDescent="0.2">
      <c r="A2513">
        <v>2508</v>
      </c>
      <c r="B2513" s="7">
        <f>'BudgetSum 2-4'!D14</f>
        <v>650781</v>
      </c>
      <c r="C2513" s="3">
        <f t="shared" si="66"/>
        <v>-648273</v>
      </c>
      <c r="E2513" s="2" t="b">
        <f t="shared" ca="1" si="65"/>
        <v>1</v>
      </c>
      <c r="F2513" s="2" cm="1">
        <f t="array" aca="1" ref="F2513" ca="1">IF(G2513&lt;&gt;"",INDIRECT("'"&amp;G2513&amp;"'!"&amp;H2513),"")</f>
        <v>650781</v>
      </c>
      <c r="G2513" s="1582" t="s">
        <v>6958</v>
      </c>
      <c r="H2513" s="2" t="s">
        <v>4570</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6958</v>
      </c>
      <c r="H2514" s="2" t="s">
        <v>4437</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6958</v>
      </c>
      <c r="H2515" s="2" t="s">
        <v>4438</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6958</v>
      </c>
      <c r="H2516" s="2" t="s">
        <v>4439</v>
      </c>
    </row>
    <row r="2517" spans="1:11" x14ac:dyDescent="0.2">
      <c r="A2517">
        <v>2512</v>
      </c>
      <c r="B2517" s="7">
        <f>'BudgetSum 2-4'!D19</f>
        <v>650781</v>
      </c>
      <c r="C2517" s="3">
        <f t="shared" si="66"/>
        <v>-648269</v>
      </c>
      <c r="E2517" s="2" t="b">
        <f t="shared" ca="1" si="65"/>
        <v>1</v>
      </c>
      <c r="F2517" s="2" cm="1">
        <f t="array" aca="1" ref="F2517" ca="1">IF(G2517&lt;&gt;"",INDIRECT("'"&amp;G2517&amp;"'!"&amp;H2517),"")</f>
        <v>650781</v>
      </c>
      <c r="G2517" s="1582" t="s">
        <v>6958</v>
      </c>
      <c r="H2517" s="2" t="s">
        <v>4440</v>
      </c>
    </row>
    <row r="2518" spans="1:11" x14ac:dyDescent="0.2">
      <c r="A2518">
        <v>2513</v>
      </c>
      <c r="B2518" s="7">
        <f>'BudgetSum 2-4'!D22</f>
        <v>0</v>
      </c>
      <c r="C2518" s="3">
        <f t="shared" si="66"/>
        <v>2513</v>
      </c>
      <c r="E2518" s="2" t="b">
        <f t="shared" ca="1" si="65"/>
        <v>1</v>
      </c>
      <c r="F2518" s="2" cm="1">
        <f t="array" aca="1" ref="F2518" ca="1">IF(G2518&lt;&gt;"",INDIRECT("'"&amp;G2518&amp;"'!"&amp;H2518),"")</f>
        <v>0</v>
      </c>
      <c r="G2518" s="1582" t="s">
        <v>6958</v>
      </c>
      <c r="H2518" s="2" t="s">
        <v>5078</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208000</v>
      </c>
      <c r="C2535" s="3">
        <f t="shared" si="66"/>
        <v>-205470</v>
      </c>
      <c r="E2535" s="2" t="b">
        <f t="shared" ca="1" si="65"/>
        <v>1</v>
      </c>
      <c r="F2535" s="2" cm="1">
        <f t="array" aca="1" ref="F2535" ca="1">IF(G2535&lt;&gt;"",INDIRECT("'"&amp;G2535&amp;"'!"&amp;H2535),"")</f>
        <v>208000</v>
      </c>
      <c r="G2535" s="1582" t="s">
        <v>6958</v>
      </c>
      <c r="H2535" s="2" t="s">
        <v>4644</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105000</v>
      </c>
      <c r="C2537" s="3">
        <f t="shared" si="66"/>
        <v>-102468</v>
      </c>
      <c r="E2537" s="2" t="b">
        <f t="shared" ca="1" si="65"/>
        <v>1</v>
      </c>
      <c r="F2537" s="2" cm="1">
        <f t="array" aca="1" ref="F2537" ca="1">IF(G2537&lt;&gt;"",INDIRECT("'"&amp;G2537&amp;"'!"&amp;H2537),"")</f>
        <v>105000</v>
      </c>
      <c r="G2537" s="1582" t="s">
        <v>6958</v>
      </c>
      <c r="H2537" s="2" t="s">
        <v>4454</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6958</v>
      </c>
      <c r="H2538" s="2" t="s">
        <v>5079</v>
      </c>
    </row>
    <row r="2539" spans="1:11" x14ac:dyDescent="0.2">
      <c r="A2539">
        <v>2534</v>
      </c>
      <c r="B2539" s="7">
        <f>'BudgetSum 2-4'!F9</f>
        <v>313000</v>
      </c>
      <c r="C2539" s="3">
        <f t="shared" si="66"/>
        <v>-310466</v>
      </c>
      <c r="E2539" s="2" t="b">
        <f t="shared" ca="1" si="65"/>
        <v>1</v>
      </c>
      <c r="F2539" s="2" cm="1">
        <f t="array" aca="1" ref="F2539" ca="1">IF(G2539&lt;&gt;"",INDIRECT("'"&amp;G2539&amp;"'!"&amp;H2539),"")</f>
        <v>313000</v>
      </c>
      <c r="G2539" s="1582" t="s">
        <v>6958</v>
      </c>
      <c r="H2539" s="2" t="s">
        <v>5080</v>
      </c>
    </row>
    <row r="2540" spans="1:11" x14ac:dyDescent="0.2">
      <c r="A2540">
        <v>2535</v>
      </c>
      <c r="B2540" s="7">
        <f>'BudgetSum 2-4'!F14</f>
        <v>354000</v>
      </c>
      <c r="C2540" s="3">
        <f t="shared" si="66"/>
        <v>-351465</v>
      </c>
      <c r="E2540" s="2" t="b">
        <f t="shared" ca="1" si="65"/>
        <v>1</v>
      </c>
      <c r="F2540" s="2" cm="1">
        <f t="array" aca="1" ref="F2540" ca="1">IF(G2540&lt;&gt;"",INDIRECT("'"&amp;G2540&amp;"'!"&amp;H2540),"")</f>
        <v>354000</v>
      </c>
      <c r="G2540" s="1582" t="s">
        <v>6958</v>
      </c>
      <c r="H2540" s="2" t="s">
        <v>4645</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6958</v>
      </c>
      <c r="H2541" s="2" t="s">
        <v>4459</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6958</v>
      </c>
      <c r="H2542" s="2" t="s">
        <v>4460</v>
      </c>
    </row>
    <row r="2543" spans="1:11" x14ac:dyDescent="0.2">
      <c r="A2543">
        <v>2538</v>
      </c>
      <c r="B2543" s="7">
        <f>'BudgetSum 2-4'!F17</f>
        <v>0</v>
      </c>
      <c r="C2543" s="3">
        <f t="shared" si="66"/>
        <v>2538</v>
      </c>
      <c r="E2543" s="2" t="b">
        <f t="shared" ca="1" si="65"/>
        <v>1</v>
      </c>
      <c r="F2543" s="2" cm="1">
        <f t="array" aca="1" ref="F2543" ca="1">IF(G2543&lt;&gt;"",INDIRECT("'"&amp;G2543&amp;"'!"&amp;H2543),"")</f>
        <v>0</v>
      </c>
      <c r="G2543" s="1582" t="s">
        <v>6958</v>
      </c>
      <c r="H2543" s="2" t="s">
        <v>4461</v>
      </c>
    </row>
    <row r="2544" spans="1:11" x14ac:dyDescent="0.2">
      <c r="A2544">
        <v>2539</v>
      </c>
      <c r="B2544" s="7">
        <f>'BudgetSum 2-4'!F19</f>
        <v>354000</v>
      </c>
      <c r="C2544" s="3">
        <f t="shared" si="66"/>
        <v>-351461</v>
      </c>
      <c r="E2544" s="2" t="b">
        <f t="shared" ca="1" si="65"/>
        <v>1</v>
      </c>
      <c r="F2544" s="2" cm="1">
        <f t="array" aca="1" ref="F2544" ca="1">IF(G2544&lt;&gt;"",INDIRECT("'"&amp;G2544&amp;"'!"&amp;H2544),"")</f>
        <v>354000</v>
      </c>
      <c r="G2544" s="1582" t="s">
        <v>6958</v>
      </c>
      <c r="H2544" s="2" t="s">
        <v>4462</v>
      </c>
    </row>
    <row r="2545" spans="1:11" x14ac:dyDescent="0.2">
      <c r="A2545">
        <v>2540</v>
      </c>
      <c r="B2545" s="7">
        <f>'BudgetSum 2-4'!F22</f>
        <v>-41000</v>
      </c>
      <c r="C2545" s="3">
        <f t="shared" si="66"/>
        <v>43540</v>
      </c>
      <c r="E2545" s="2" t="b">
        <f t="shared" ca="1" si="65"/>
        <v>1</v>
      </c>
      <c r="F2545" s="2" cm="1">
        <f t="array" aca="1" ref="F2545" ca="1">IF(G2545&lt;&gt;"",INDIRECT("'"&amp;G2545&amp;"'!"&amp;H2545),"")</f>
        <v>-41000</v>
      </c>
      <c r="G2545" s="1582" t="s">
        <v>6958</v>
      </c>
      <c r="H2545" s="2" t="s">
        <v>5081</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206000</v>
      </c>
      <c r="C2547" s="3">
        <f t="shared" si="66"/>
        <v>-203458</v>
      </c>
      <c r="E2547" s="2" t="b">
        <f t="shared" ca="1" si="65"/>
        <v>1</v>
      </c>
      <c r="F2547" s="2" cm="1">
        <f t="array" aca="1" ref="F2547" ca="1">IF(G2547&lt;&gt;"",INDIRECT("'"&amp;G2547&amp;"'!"&amp;H2547),"")</f>
        <v>206000</v>
      </c>
      <c r="G2547" s="1582" t="s">
        <v>6958</v>
      </c>
      <c r="H2547" s="2" t="s">
        <v>4681</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6958</v>
      </c>
      <c r="H2548" s="2" t="s">
        <v>5082</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6958</v>
      </c>
      <c r="H2549" s="2" t="s">
        <v>5083</v>
      </c>
    </row>
    <row r="2550" spans="1:11" x14ac:dyDescent="0.2">
      <c r="A2550">
        <v>2545</v>
      </c>
      <c r="B2550" s="7">
        <f>'BudgetSum 2-4'!G9</f>
        <v>206000</v>
      </c>
      <c r="C2550" s="3">
        <f t="shared" si="66"/>
        <v>-203455</v>
      </c>
      <c r="E2550" s="2" t="b">
        <f t="shared" ca="1" si="65"/>
        <v>1</v>
      </c>
      <c r="F2550" s="2" cm="1">
        <f t="array" aca="1" ref="F2550" ca="1">IF(G2550&lt;&gt;"",INDIRECT("'"&amp;G2550&amp;"'!"&amp;H2550),"")</f>
        <v>206000</v>
      </c>
      <c r="G2550" s="1582" t="s">
        <v>6958</v>
      </c>
      <c r="H2550" s="2" t="s">
        <v>5084</v>
      </c>
    </row>
    <row r="2551" spans="1:11" x14ac:dyDescent="0.2">
      <c r="A2551">
        <v>2546</v>
      </c>
      <c r="B2551" s="7">
        <f>'BudgetSum 2-4'!G13</f>
        <v>64700</v>
      </c>
      <c r="C2551" s="3">
        <f t="shared" si="66"/>
        <v>-62154</v>
      </c>
      <c r="E2551" s="2" t="b">
        <f t="shared" ca="1" si="65"/>
        <v>1</v>
      </c>
      <c r="F2551" s="2" cm="1">
        <f t="array" aca="1" ref="F2551" ca="1">IF(G2551&lt;&gt;"",INDIRECT("'"&amp;G2551&amp;"'!"&amp;H2551),"")</f>
        <v>64700</v>
      </c>
      <c r="G2551" s="1582" t="s">
        <v>6958</v>
      </c>
      <c r="H2551" s="2" t="s">
        <v>4469</v>
      </c>
    </row>
    <row r="2552" spans="1:11" x14ac:dyDescent="0.2">
      <c r="A2552">
        <v>2547</v>
      </c>
      <c r="B2552" s="7">
        <f>'BudgetSum 2-4'!G14</f>
        <v>141300</v>
      </c>
      <c r="C2552" s="3">
        <f t="shared" si="66"/>
        <v>-138753</v>
      </c>
      <c r="E2552" s="2" t="b">
        <f t="shared" ca="1" si="65"/>
        <v>1</v>
      </c>
      <c r="F2552" s="2" cm="1">
        <f t="array" aca="1" ref="F2552" ca="1">IF(G2552&lt;&gt;"",INDIRECT("'"&amp;G2552&amp;"'!"&amp;H2552),"")</f>
        <v>141300</v>
      </c>
      <c r="G2552" s="1582" t="s">
        <v>6958</v>
      </c>
      <c r="H2552" s="2" t="s">
        <v>4682</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6958</v>
      </c>
      <c r="H2553" s="2" t="s">
        <v>4683</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6958</v>
      </c>
      <c r="H2555" s="2" t="s">
        <v>4471</v>
      </c>
    </row>
    <row r="2556" spans="1:11" x14ac:dyDescent="0.2">
      <c r="A2556">
        <v>2551</v>
      </c>
      <c r="B2556" s="7">
        <f>'BudgetSum 2-4'!G19</f>
        <v>206000</v>
      </c>
      <c r="C2556" s="3">
        <f t="shared" si="66"/>
        <v>-203449</v>
      </c>
      <c r="E2556" s="2" t="b">
        <f t="shared" ca="1" si="65"/>
        <v>1</v>
      </c>
      <c r="F2556" s="2" cm="1">
        <f t="array" aca="1" ref="F2556" ca="1">IF(G2556&lt;&gt;"",INDIRECT("'"&amp;G2556&amp;"'!"&amp;H2556),"")</f>
        <v>206000</v>
      </c>
      <c r="G2556" s="1582" t="s">
        <v>6958</v>
      </c>
      <c r="H2556" s="2" t="s">
        <v>4472</v>
      </c>
    </row>
    <row r="2557" spans="1:11" x14ac:dyDescent="0.2">
      <c r="A2557">
        <v>2552</v>
      </c>
      <c r="B2557" s="7">
        <f>'BudgetSum 2-4'!G22</f>
        <v>0</v>
      </c>
      <c r="C2557" s="3">
        <f t="shared" si="66"/>
        <v>2552</v>
      </c>
      <c r="E2557" s="2" t="b">
        <f t="shared" ca="1" si="65"/>
        <v>1</v>
      </c>
      <c r="F2557" s="2" cm="1">
        <f t="array" aca="1" ref="F2557" ca="1">IF(G2557&lt;&gt;"",INDIRECT("'"&amp;G2557&amp;"'!"&amp;H2557),"")</f>
        <v>0</v>
      </c>
      <c r="G2557" s="1582" t="s">
        <v>6958</v>
      </c>
      <c r="H2557" s="2" t="s">
        <v>5085</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0</v>
      </c>
      <c r="C2574" s="3">
        <f t="shared" ref="C2574:C2606" si="68">A2574-B2574</f>
        <v>2569</v>
      </c>
      <c r="E2574" s="2" t="b">
        <f t="shared" ca="1" si="67"/>
        <v>1</v>
      </c>
      <c r="F2574" s="2" cm="1">
        <f t="array" aca="1" ref="F2574" ca="1">IF(G2574&lt;&gt;"",INDIRECT("'"&amp;G2574&amp;"'!"&amp;H2574),"")</f>
        <v>0</v>
      </c>
      <c r="G2574" s="1582" t="s">
        <v>6958</v>
      </c>
      <c r="H2574" s="2" t="s">
        <v>4606</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6958</v>
      </c>
      <c r="H2575" s="2" t="s">
        <v>5086</v>
      </c>
    </row>
    <row r="2576" spans="1:11" x14ac:dyDescent="0.2">
      <c r="A2576">
        <v>2571</v>
      </c>
      <c r="B2576" s="7">
        <f>'BudgetSum 2-4'!E9</f>
        <v>0</v>
      </c>
      <c r="C2576" s="3">
        <f t="shared" si="68"/>
        <v>2571</v>
      </c>
      <c r="E2576" s="2" t="b">
        <f t="shared" ca="1" si="67"/>
        <v>1</v>
      </c>
      <c r="F2576" s="2" cm="1">
        <f t="array" aca="1" ref="F2576" ca="1">IF(G2576&lt;&gt;"",INDIRECT("'"&amp;G2576&amp;"'!"&amp;H2576),"")</f>
        <v>0</v>
      </c>
      <c r="G2576" s="1582" t="s">
        <v>6958</v>
      </c>
      <c r="H2576" s="2" t="s">
        <v>5087</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6958</v>
      </c>
      <c r="H2577" s="2" t="s">
        <v>4448</v>
      </c>
    </row>
    <row r="2578" spans="1:11" x14ac:dyDescent="0.2">
      <c r="A2578">
        <v>2573</v>
      </c>
      <c r="B2578" s="7">
        <f>'BudgetSum 2-4'!E17</f>
        <v>0</v>
      </c>
      <c r="C2578" s="3">
        <f t="shared" si="68"/>
        <v>2573</v>
      </c>
      <c r="E2578" s="2" t="b">
        <f t="shared" ca="1" si="67"/>
        <v>1</v>
      </c>
      <c r="F2578" s="2" cm="1">
        <f t="array" aca="1" ref="F2578" ca="1">IF(G2578&lt;&gt;"",INDIRECT("'"&amp;G2578&amp;"'!"&amp;H2578),"")</f>
        <v>0</v>
      </c>
      <c r="G2578" s="1582" t="s">
        <v>6958</v>
      </c>
      <c r="H2578" s="2" t="s">
        <v>5088</v>
      </c>
    </row>
    <row r="2579" spans="1:11" x14ac:dyDescent="0.2">
      <c r="A2579">
        <v>2574</v>
      </c>
      <c r="B2579" s="7">
        <f>'BudgetSum 2-4'!E19</f>
        <v>0</v>
      </c>
      <c r="C2579" s="3">
        <f t="shared" si="68"/>
        <v>2574</v>
      </c>
      <c r="E2579" s="2" t="b">
        <f t="shared" ca="1" si="67"/>
        <v>1</v>
      </c>
      <c r="F2579" s="2" cm="1">
        <f t="array" aca="1" ref="F2579" ca="1">IF(G2579&lt;&gt;"",INDIRECT("'"&amp;G2579&amp;"'!"&amp;H2579),"")</f>
        <v>0</v>
      </c>
      <c r="G2579" s="1582" t="s">
        <v>6958</v>
      </c>
      <c r="H2579" s="2" t="s">
        <v>4450</v>
      </c>
    </row>
    <row r="2580" spans="1:11" x14ac:dyDescent="0.2">
      <c r="A2580">
        <v>2575</v>
      </c>
      <c r="B2580" s="7">
        <f>'BudgetSum 2-4'!E22</f>
        <v>0</v>
      </c>
      <c r="C2580" s="3">
        <f t="shared" si="68"/>
        <v>2575</v>
      </c>
      <c r="E2580" s="2" t="b">
        <f t="shared" ca="1" si="67"/>
        <v>1</v>
      </c>
      <c r="F2580" s="2" cm="1">
        <f t="array" aca="1" ref="F2580" ca="1">IF(G2580&lt;&gt;"",INDIRECT("'"&amp;G2580&amp;"'!"&amp;H2580),"")</f>
        <v>0</v>
      </c>
      <c r="G2580" s="1582" t="s">
        <v>6958</v>
      </c>
      <c r="H2580" s="2" t="s">
        <v>5089</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0</v>
      </c>
      <c r="C2599" s="3">
        <f t="shared" si="68"/>
        <v>2594</v>
      </c>
      <c r="E2599" s="2" t="b">
        <f t="shared" ca="1" si="67"/>
        <v>1</v>
      </c>
      <c r="F2599" s="2" cm="1">
        <f t="array" aca="1" ref="F2599" ca="1">IF(G2599&lt;&gt;"",INDIRECT("'"&amp;G2599&amp;"'!"&amp;H2599),"")</f>
        <v>0</v>
      </c>
      <c r="G2599" s="1582" t="s">
        <v>6958</v>
      </c>
      <c r="H2599" s="2" t="s">
        <v>4719</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6958</v>
      </c>
      <c r="H2600" s="2" t="s">
        <v>5090</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6958</v>
      </c>
      <c r="H2601" s="2" t="s">
        <v>5091</v>
      </c>
    </row>
    <row r="2602" spans="1:11" x14ac:dyDescent="0.2">
      <c r="A2602">
        <v>2597</v>
      </c>
      <c r="B2602" s="7">
        <f>'BudgetSum 2-4'!H9</f>
        <v>0</v>
      </c>
      <c r="C2602" s="3">
        <f t="shared" si="68"/>
        <v>2597</v>
      </c>
      <c r="E2602" s="2" t="b">
        <f t="shared" ca="1" si="67"/>
        <v>1</v>
      </c>
      <c r="F2602" s="2" cm="1">
        <f t="array" aca="1" ref="F2602" ca="1">IF(G2602&lt;&gt;"",INDIRECT("'"&amp;G2602&amp;"'!"&amp;H2602),"")</f>
        <v>0</v>
      </c>
      <c r="G2602" s="1582" t="s">
        <v>6958</v>
      </c>
      <c r="H2602" s="2" t="s">
        <v>5092</v>
      </c>
    </row>
    <row r="2603" spans="1:11" x14ac:dyDescent="0.2">
      <c r="A2603">
        <v>2598</v>
      </c>
      <c r="B2603" s="7">
        <f>'BudgetSum 2-4'!H14</f>
        <v>0</v>
      </c>
      <c r="C2603" s="3">
        <f t="shared" si="68"/>
        <v>2598</v>
      </c>
      <c r="E2603" s="2" t="b">
        <f t="shared" ca="1" si="67"/>
        <v>1</v>
      </c>
      <c r="F2603" s="2" cm="1">
        <f t="array" aca="1" ref="F2603" ca="1">IF(G2603&lt;&gt;"",INDIRECT("'"&amp;G2603&amp;"'!"&amp;H2603),"")</f>
        <v>0</v>
      </c>
      <c r="G2603" s="1582" t="s">
        <v>6958</v>
      </c>
      <c r="H2603" s="2" t="s">
        <v>4409</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6958</v>
      </c>
      <c r="H2604" s="2" t="s">
        <v>4479</v>
      </c>
    </row>
    <row r="2605" spans="1:11" x14ac:dyDescent="0.2">
      <c r="A2605">
        <v>2600</v>
      </c>
      <c r="B2605" s="7">
        <f>'BudgetSum 2-4'!H19</f>
        <v>0</v>
      </c>
      <c r="C2605" s="3">
        <f t="shared" si="68"/>
        <v>2600</v>
      </c>
      <c r="E2605" s="2" t="b">
        <f t="shared" ca="1" si="67"/>
        <v>1</v>
      </c>
      <c r="F2605" s="2" cm="1">
        <f t="array" aca="1" ref="F2605" ca="1">IF(G2605&lt;&gt;"",INDIRECT("'"&amp;G2605&amp;"'!"&amp;H2605),"")</f>
        <v>0</v>
      </c>
      <c r="G2605" s="1582" t="s">
        <v>6958</v>
      </c>
      <c r="H2605" s="2" t="s">
        <v>4480</v>
      </c>
    </row>
    <row r="2606" spans="1:11" x14ac:dyDescent="0.2">
      <c r="A2606">
        <v>2601</v>
      </c>
      <c r="B2606" s="7">
        <f>'BudgetSum 2-4'!H22</f>
        <v>0</v>
      </c>
      <c r="C2606" s="3">
        <f t="shared" si="68"/>
        <v>2601</v>
      </c>
      <c r="E2606" s="2" t="b">
        <f t="shared" ca="1" si="67"/>
        <v>1</v>
      </c>
      <c r="F2606" s="2" cm="1">
        <f t="array" aca="1" ref="F2606" ca="1">IF(G2606&lt;&gt;"",INDIRECT("'"&amp;G2606&amp;"'!"&amp;H2606),"")</f>
        <v>0</v>
      </c>
      <c r="G2606" s="1582" t="s">
        <v>6958</v>
      </c>
      <c r="H2606" s="2" t="s">
        <v>5093</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6960</v>
      </c>
      <c r="H2662" s="2" t="s">
        <v>5094</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6960</v>
      </c>
      <c r="H2663" s="2" t="s">
        <v>5095</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6960</v>
      </c>
      <c r="H2664" s="2" t="s">
        <v>5096</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6960</v>
      </c>
      <c r="H2665" s="2" t="s">
        <v>5097</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6960</v>
      </c>
      <c r="H2666" s="2" t="s">
        <v>5098</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6960</v>
      </c>
      <c r="H2667" s="2" t="s">
        <v>5099</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6960</v>
      </c>
      <c r="H2668" s="2" t="s">
        <v>5100</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6960</v>
      </c>
      <c r="H2669" s="2" t="s">
        <v>5101</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6960</v>
      </c>
      <c r="H2670" s="2" t="s">
        <v>5102</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6958</v>
      </c>
      <c r="H2701" s="2" t="s">
        <v>5103</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6958</v>
      </c>
      <c r="H2702" s="2" t="s">
        <v>5104</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6958</v>
      </c>
      <c r="H2704" s="2" t="s">
        <v>5105</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6958</v>
      </c>
      <c r="H2706" s="2" t="s">
        <v>5106</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6958</v>
      </c>
      <c r="H2707" s="2" t="s">
        <v>5107</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6958</v>
      </c>
      <c r="H2710" s="2" t="s">
        <v>5108</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6958</v>
      </c>
      <c r="H2713" s="2" t="s">
        <v>5109</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6958</v>
      </c>
      <c r="H2716" s="2" t="s">
        <v>5110</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0</v>
      </c>
      <c r="C2733" s="3">
        <f t="shared" si="72"/>
        <v>2728</v>
      </c>
      <c r="E2733" s="2" t="b">
        <f t="shared" ca="1" si="71"/>
        <v>1</v>
      </c>
      <c r="F2733" s="2" cm="1">
        <f t="array" aca="1" ref="F2733" ca="1">IF(G2733&lt;&gt;"",INDIRECT("'"&amp;G2733&amp;"'!"&amp;H2733),"")</f>
        <v>0</v>
      </c>
      <c r="G2733" s="1582" t="s">
        <v>6960</v>
      </c>
      <c r="H2733" s="2" t="s">
        <v>5111</v>
      </c>
    </row>
    <row r="2734" spans="1:11" x14ac:dyDescent="0.2">
      <c r="A2734">
        <v>2729</v>
      </c>
      <c r="B2734" s="7">
        <f>'EstExp 12-20'!E104</f>
        <v>0</v>
      </c>
      <c r="C2734" s="3">
        <f t="shared" si="72"/>
        <v>2729</v>
      </c>
      <c r="E2734" s="2" t="b">
        <f t="shared" ca="1" si="71"/>
        <v>1</v>
      </c>
      <c r="F2734" s="2" cm="1">
        <f t="array" aca="1" ref="F2734" ca="1">IF(G2734&lt;&gt;"",INDIRECT("'"&amp;G2734&amp;"'!"&amp;H2734),"")</f>
        <v>0</v>
      </c>
      <c r="G2734" s="1582" t="s">
        <v>6960</v>
      </c>
      <c r="H2734" s="2" t="s">
        <v>5112</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6960</v>
      </c>
      <c r="H2735" s="2" t="s">
        <v>5113</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6960</v>
      </c>
      <c r="H2736" s="2" t="s">
        <v>5114</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6958</v>
      </c>
      <c r="H2738" s="2" t="s">
        <v>5094</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6960</v>
      </c>
      <c r="H2739" s="2" t="s">
        <v>5115</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6960</v>
      </c>
      <c r="H2740" s="2" t="s">
        <v>5116</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6960</v>
      </c>
      <c r="H2741" s="2" t="s">
        <v>5117</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6960</v>
      </c>
      <c r="H2742" s="2" t="s">
        <v>5118</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6960</v>
      </c>
      <c r="H2743" s="2" t="s">
        <v>5119</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6960</v>
      </c>
      <c r="H2744" s="2" t="s">
        <v>5120</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6960</v>
      </c>
      <c r="H2745" s="2" t="s">
        <v>5121</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6960</v>
      </c>
      <c r="H2746" s="2" t="s">
        <v>5122</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6960</v>
      </c>
      <c r="H2749" s="2" t="s">
        <v>5123</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6958</v>
      </c>
      <c r="H2750" s="2" t="s">
        <v>5095</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6960</v>
      </c>
      <c r="H2751" s="2" t="s">
        <v>5124</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6960</v>
      </c>
      <c r="H2752" s="2" t="s">
        <v>5125</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6960</v>
      </c>
      <c r="H2754" s="2" t="s">
        <v>5126</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6960</v>
      </c>
      <c r="H2755" s="2" t="s">
        <v>5127</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6960</v>
      </c>
      <c r="H2756" s="2" t="s">
        <v>5128</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6960</v>
      </c>
      <c r="H2757" s="2" t="s">
        <v>5129</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6958</v>
      </c>
      <c r="H2761" s="2" t="s">
        <v>5096</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6960</v>
      </c>
      <c r="H2762" s="2" t="s">
        <v>5130</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6960</v>
      </c>
      <c r="H2763" s="2" t="s">
        <v>5131</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6960</v>
      </c>
      <c r="H2764" s="2" t="s">
        <v>5132</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6960</v>
      </c>
      <c r="H2765" s="2" t="s">
        <v>5133</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6960</v>
      </c>
      <c r="H2766" s="2" t="s">
        <v>5134</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6960</v>
      </c>
      <c r="H2767" s="2" t="s">
        <v>5135</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6960</v>
      </c>
      <c r="H2768" s="2" t="s">
        <v>5136</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6960</v>
      </c>
      <c r="H2769" s="2" t="s">
        <v>5137</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6960</v>
      </c>
      <c r="H2770" s="2" t="s">
        <v>5138</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6960</v>
      </c>
      <c r="H2771" s="2" t="s">
        <v>5139</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6960</v>
      </c>
      <c r="H2772" s="2" t="s">
        <v>5140</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6960</v>
      </c>
      <c r="H2773" s="2" t="s">
        <v>5141</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6960</v>
      </c>
      <c r="H2774" s="2" t="s">
        <v>5142</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6960</v>
      </c>
      <c r="H2775" s="2" t="s">
        <v>5143</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6960</v>
      </c>
      <c r="H2776" s="2" t="s">
        <v>5144</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6960</v>
      </c>
      <c r="H2780" s="2" t="s">
        <v>5145</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6960</v>
      </c>
      <c r="H2781" s="2" t="s">
        <v>5146</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6960</v>
      </c>
      <c r="H2783" s="2" t="s">
        <v>5147</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6958</v>
      </c>
      <c r="H2784" s="2" t="s">
        <v>5097</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6960</v>
      </c>
      <c r="H2785" s="2" t="s">
        <v>5148</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6960</v>
      </c>
      <c r="H2786" s="2" t="s">
        <v>5149</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6960</v>
      </c>
      <c r="H2787" s="2" t="s">
        <v>5150</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6960</v>
      </c>
      <c r="H2788" s="2" t="s">
        <v>5151</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6960</v>
      </c>
      <c r="H2789" s="2" t="s">
        <v>5152</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6960</v>
      </c>
      <c r="H2790" s="2" t="s">
        <v>5153</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6958</v>
      </c>
      <c r="H2792" s="2" t="s">
        <v>5099</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6960</v>
      </c>
      <c r="H2891" s="2" t="s">
        <v>5154</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6960</v>
      </c>
      <c r="H2893" s="2" t="s">
        <v>5155</v>
      </c>
    </row>
    <row r="2894" spans="1:11" x14ac:dyDescent="0.2">
      <c r="A2894">
        <v>2889</v>
      </c>
      <c r="B2894" s="7">
        <f>'EstExp 12-20'!E81</f>
        <v>0</v>
      </c>
      <c r="C2894" s="3">
        <f t="shared" si="77"/>
        <v>2889</v>
      </c>
      <c r="E2894" s="2" t="b">
        <f t="shared" ca="1" si="76"/>
        <v>1</v>
      </c>
      <c r="F2894" s="2" cm="1">
        <f t="array" aca="1" ref="F2894" ca="1">IF(G2894&lt;&gt;"",INDIRECT("'"&amp;G2894&amp;"'!"&amp;H2894),"")</f>
        <v>0</v>
      </c>
      <c r="G2894" s="1582" t="s">
        <v>6960</v>
      </c>
      <c r="H2894" s="2" t="s">
        <v>5056</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6960</v>
      </c>
      <c r="H2895" s="2" t="s">
        <v>5156</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6960</v>
      </c>
      <c r="H2896" s="2" t="s">
        <v>5157</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6960</v>
      </c>
      <c r="H2897" s="2" t="s">
        <v>5158</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6960</v>
      </c>
      <c r="H2898" s="2" t="s">
        <v>5159</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6960</v>
      </c>
      <c r="H2899" s="2" t="s">
        <v>5160</v>
      </c>
    </row>
    <row r="2900" spans="1:8" x14ac:dyDescent="0.2">
      <c r="A2900">
        <v>2895</v>
      </c>
      <c r="B2900" s="7">
        <f>'EstExp 12-20'!H81</f>
        <v>0</v>
      </c>
      <c r="C2900" s="3">
        <f t="shared" si="77"/>
        <v>2895</v>
      </c>
      <c r="E2900" s="2" t="b">
        <f t="shared" ca="1" si="76"/>
        <v>1</v>
      </c>
      <c r="F2900" s="2" cm="1">
        <f t="array" aca="1" ref="F2900" ca="1">IF(G2900&lt;&gt;"",INDIRECT("'"&amp;G2900&amp;"'!"&amp;H2900),"")</f>
        <v>0</v>
      </c>
      <c r="G2900" s="1582" t="s">
        <v>6960</v>
      </c>
      <c r="H2900" s="2" t="s">
        <v>5062</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6960</v>
      </c>
      <c r="H2901" s="2" t="s">
        <v>5161</v>
      </c>
    </row>
    <row r="2902" spans="1:8" x14ac:dyDescent="0.2">
      <c r="A2902">
        <v>2897</v>
      </c>
      <c r="B2902" s="7">
        <f>'EstExp 12-20'!H83</f>
        <v>26000</v>
      </c>
      <c r="C2902" s="3">
        <f t="shared" si="77"/>
        <v>-23103</v>
      </c>
      <c r="E2902" s="2" t="b">
        <f t="shared" ca="1" si="76"/>
        <v>1</v>
      </c>
      <c r="F2902" s="2" cm="1">
        <f t="array" aca="1" ref="F2902" ca="1">IF(G2902&lt;&gt;"",INDIRECT("'"&amp;G2902&amp;"'!"&amp;H2902),"")</f>
        <v>26000</v>
      </c>
      <c r="G2902" s="1582" t="s">
        <v>6960</v>
      </c>
      <c r="H2902" s="2" t="s">
        <v>5162</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6960</v>
      </c>
      <c r="H2903" s="2" t="s">
        <v>5163</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6960</v>
      </c>
      <c r="H2904" s="2" t="s">
        <v>5164</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6960</v>
      </c>
      <c r="H2917" s="2" t="s">
        <v>5165</v>
      </c>
    </row>
    <row r="2918" spans="1:8" x14ac:dyDescent="0.2">
      <c r="A2918">
        <v>2913</v>
      </c>
      <c r="B2918" s="7">
        <f>'EstExp 12-20'!K81</f>
        <v>0</v>
      </c>
      <c r="C2918" s="3">
        <f t="shared" si="77"/>
        <v>2913</v>
      </c>
      <c r="E2918" s="2" t="b">
        <f t="shared" ca="1" si="76"/>
        <v>1</v>
      </c>
      <c r="F2918" s="2" cm="1">
        <f t="array" aca="1" ref="F2918" ca="1">IF(G2918&lt;&gt;"",INDIRECT("'"&amp;G2918&amp;"'!"&amp;H2918),"")</f>
        <v>0</v>
      </c>
      <c r="G2918" s="1582" t="s">
        <v>6960</v>
      </c>
      <c r="H2918" s="2" t="s">
        <v>5166</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6960</v>
      </c>
      <c r="H2919" s="2" t="s">
        <v>5167</v>
      </c>
    </row>
    <row r="2920" spans="1:8" x14ac:dyDescent="0.2">
      <c r="A2920">
        <v>2915</v>
      </c>
      <c r="B2920" s="7">
        <f>'EstExp 12-20'!K83</f>
        <v>26000</v>
      </c>
      <c r="C2920" s="3">
        <f t="shared" si="77"/>
        <v>-23085</v>
      </c>
      <c r="E2920" s="2" t="b">
        <f t="shared" ca="1" si="76"/>
        <v>1</v>
      </c>
      <c r="F2920" s="2" cm="1">
        <f t="array" aca="1" ref="F2920" ca="1">IF(G2920&lt;&gt;"",INDIRECT("'"&amp;G2920&amp;"'!"&amp;H2920),"")</f>
        <v>26000</v>
      </c>
      <c r="G2920" s="1582" t="s">
        <v>6960</v>
      </c>
      <c r="H2920" s="2" t="s">
        <v>5168</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6960</v>
      </c>
      <c r="H2921" s="2" t="s">
        <v>5169</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6960</v>
      </c>
      <c r="H2922" s="2" t="s">
        <v>5170</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6960</v>
      </c>
      <c r="H2923" s="2" t="s">
        <v>5171</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6960</v>
      </c>
      <c r="H2924" s="2" t="s">
        <v>5172</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6960</v>
      </c>
      <c r="H2925" s="2" t="s">
        <v>5173</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6960</v>
      </c>
      <c r="H2930" s="2" t="s">
        <v>5174</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6960</v>
      </c>
      <c r="H2931" s="2" t="s">
        <v>5175</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6960</v>
      </c>
      <c r="H2932" s="2" t="s">
        <v>5176</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6960</v>
      </c>
      <c r="H2933" s="2" t="s">
        <v>5177</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6960</v>
      </c>
      <c r="H2934" s="2" t="s">
        <v>5178</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6960</v>
      </c>
      <c r="H2935" s="2" t="s">
        <v>5179</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6960</v>
      </c>
      <c r="H2936" s="2" t="s">
        <v>5180</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6960</v>
      </c>
      <c r="H2937" s="2" t="s">
        <v>5181</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6960</v>
      </c>
      <c r="H2938" s="2" t="s">
        <v>5182</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6960</v>
      </c>
      <c r="H2939" s="2" t="s">
        <v>5183</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6960</v>
      </c>
      <c r="H2940" s="2" t="s">
        <v>5184</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6960</v>
      </c>
      <c r="H2941" s="2" t="s">
        <v>5185</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6960</v>
      </c>
      <c r="H2942" s="2" t="s">
        <v>5186</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6960</v>
      </c>
      <c r="H2943" s="2" t="s">
        <v>5187</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6960</v>
      </c>
      <c r="H2944" s="2" t="s">
        <v>5188</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6960</v>
      </c>
      <c r="H2951" s="2" t="s">
        <v>5189</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6960</v>
      </c>
      <c r="H2952" s="2" t="s">
        <v>5190</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6960</v>
      </c>
      <c r="H2953" s="2" t="s">
        <v>5191</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6960</v>
      </c>
      <c r="H2954" s="2" t="s">
        <v>5192</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6960</v>
      </c>
      <c r="H2955" s="2" t="s">
        <v>5193</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6960</v>
      </c>
      <c r="H2956" s="2" t="s">
        <v>5194</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60000</v>
      </c>
      <c r="C2999" s="3">
        <f t="shared" si="79"/>
        <v>-57006</v>
      </c>
      <c r="E2999" s="2" t="b">
        <f t="shared" ca="1" si="78"/>
        <v>1</v>
      </c>
      <c r="F2999" s="2" cm="1">
        <f t="array" aca="1" ref="F2999" ca="1">IF(G2999&lt;&gt;"",INDIRECT("'"&amp;G2999&amp;"'!"&amp;H2999),"")</f>
        <v>60000</v>
      </c>
      <c r="G2999" s="1582" t="s">
        <v>6960</v>
      </c>
      <c r="H2999" s="2" t="s">
        <v>4420</v>
      </c>
    </row>
    <row r="3000" spans="1:11" x14ac:dyDescent="0.2">
      <c r="A3000">
        <v>2995</v>
      </c>
      <c r="B3000" s="7">
        <f>'EstExp 12-20'!D10</f>
        <v>18300</v>
      </c>
      <c r="C3000" s="3">
        <f t="shared" si="79"/>
        <v>-15305</v>
      </c>
      <c r="E3000" s="2" t="b">
        <f t="shared" ca="1" si="78"/>
        <v>1</v>
      </c>
      <c r="F3000" s="2" cm="1">
        <f t="array" aca="1" ref="F3000" ca="1">IF(G3000&lt;&gt;"",INDIRECT("'"&amp;G3000&amp;"'!"&amp;H3000),"")</f>
        <v>18300</v>
      </c>
      <c r="G3000" s="1582" t="s">
        <v>6960</v>
      </c>
      <c r="H3000" s="2" t="s">
        <v>4433</v>
      </c>
    </row>
    <row r="3001" spans="1:11" x14ac:dyDescent="0.2">
      <c r="A3001">
        <v>2996</v>
      </c>
      <c r="B3001" s="7">
        <f>'EstExp 12-20'!E10</f>
        <v>7000</v>
      </c>
      <c r="C3001" s="3">
        <f t="shared" si="79"/>
        <v>-4004</v>
      </c>
      <c r="E3001" s="2" t="b">
        <f t="shared" ca="1" si="78"/>
        <v>1</v>
      </c>
      <c r="F3001" s="2" cm="1">
        <f t="array" aca="1" ref="F3001" ca="1">IF(G3001&lt;&gt;"",INDIRECT("'"&amp;G3001&amp;"'!"&amp;H3001),"")</f>
        <v>7000</v>
      </c>
      <c r="G3001" s="1582" t="s">
        <v>6960</v>
      </c>
      <c r="H3001" s="2" t="s">
        <v>4444</v>
      </c>
    </row>
    <row r="3002" spans="1:11" x14ac:dyDescent="0.2">
      <c r="A3002">
        <v>2997</v>
      </c>
      <c r="B3002" s="7">
        <f>'EstExp 12-20'!F10</f>
        <v>6400</v>
      </c>
      <c r="C3002" s="3">
        <f t="shared" si="79"/>
        <v>-3403</v>
      </c>
      <c r="E3002" s="2" t="b">
        <f t="shared" ca="1" si="78"/>
        <v>1</v>
      </c>
      <c r="F3002" s="2" cm="1">
        <f t="array" aca="1" ref="F3002" ca="1">IF(G3002&lt;&gt;"",INDIRECT("'"&amp;G3002&amp;"'!"&amp;H3002),"")</f>
        <v>6400</v>
      </c>
      <c r="G3002" s="1582" t="s">
        <v>6960</v>
      </c>
      <c r="H3002" s="2" t="s">
        <v>4455</v>
      </c>
    </row>
    <row r="3003" spans="1:11" x14ac:dyDescent="0.2">
      <c r="A3003">
        <v>2998</v>
      </c>
      <c r="B3003" s="7">
        <f>'EstExp 12-20'!G10</f>
        <v>2000</v>
      </c>
      <c r="C3003" s="3">
        <f t="shared" si="79"/>
        <v>998</v>
      </c>
      <c r="E3003" s="2" t="b">
        <f t="shared" ca="1" si="78"/>
        <v>1</v>
      </c>
      <c r="F3003" s="2" cm="1">
        <f t="array" aca="1" ref="F3003" ca="1">IF(G3003&lt;&gt;"",INDIRECT("'"&amp;G3003&amp;"'!"&amp;H3003),"")</f>
        <v>2000</v>
      </c>
      <c r="G3003" s="1582" t="s">
        <v>6960</v>
      </c>
      <c r="H3003" s="2" t="s">
        <v>4466</v>
      </c>
    </row>
    <row r="3004" spans="1:11" x14ac:dyDescent="0.2">
      <c r="A3004">
        <v>2999</v>
      </c>
      <c r="B3004" s="7">
        <f>'EstExp 12-20'!H10</f>
        <v>200</v>
      </c>
      <c r="C3004" s="3">
        <f t="shared" si="79"/>
        <v>2799</v>
      </c>
      <c r="E3004" s="2" t="b">
        <f t="shared" ca="1" si="78"/>
        <v>1</v>
      </c>
      <c r="F3004" s="2" cm="1">
        <f t="array" aca="1" ref="F3004" ca="1">IF(G3004&lt;&gt;"",INDIRECT("'"&amp;G3004&amp;"'!"&amp;H3004),"")</f>
        <v>200</v>
      </c>
      <c r="G3004" s="1582" t="s">
        <v>6960</v>
      </c>
      <c r="H3004" s="2" t="s">
        <v>4476</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93900</v>
      </c>
      <c r="C3006" s="3">
        <f t="shared" si="79"/>
        <v>-90899</v>
      </c>
      <c r="E3006" s="2" t="b">
        <f t="shared" ca="1" si="78"/>
        <v>1</v>
      </c>
      <c r="F3006" s="2" cm="1">
        <f t="array" aca="1" ref="F3006" ca="1">IF(G3006&lt;&gt;"",INDIRECT("'"&amp;G3006&amp;"'!"&amp;H3006),"")</f>
        <v>93900</v>
      </c>
      <c r="G3006" s="1582" t="s">
        <v>6960</v>
      </c>
      <c r="H3006" s="2" t="s">
        <v>4494</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10800</v>
      </c>
      <c r="C3008" s="3">
        <f t="shared" si="79"/>
        <v>-7797</v>
      </c>
      <c r="E3008" s="2" t="b">
        <f t="shared" ca="1" si="78"/>
        <v>1</v>
      </c>
      <c r="F3008" s="2" cm="1">
        <f t="array" aca="1" ref="F3008" ca="1">IF(G3008&lt;&gt;"",INDIRECT("'"&amp;G3008&amp;"'!"&amp;H3008),"")</f>
        <v>10800</v>
      </c>
      <c r="G3008" s="1582" t="s">
        <v>6960</v>
      </c>
      <c r="H3008" s="2" t="s">
        <v>5195</v>
      </c>
    </row>
    <row r="3009" spans="1:11" x14ac:dyDescent="0.2">
      <c r="A3009">
        <v>3004</v>
      </c>
      <c r="B3009" s="7">
        <f>'EstExp 12-20'!K223</f>
        <v>10800</v>
      </c>
      <c r="C3009" s="3">
        <f t="shared" si="79"/>
        <v>-7796</v>
      </c>
      <c r="E3009" s="2" t="b">
        <f t="shared" ca="1" si="78"/>
        <v>1</v>
      </c>
      <c r="F3009" s="2" cm="1">
        <f t="array" aca="1" ref="F3009" ca="1">IF(G3009&lt;&gt;"",INDIRECT("'"&amp;G3009&amp;"'!"&amp;H3009),"")</f>
        <v>10800</v>
      </c>
      <c r="G3009" s="1582" t="s">
        <v>6960</v>
      </c>
      <c r="H3009" s="2" t="s">
        <v>5196</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6958</v>
      </c>
      <c r="H3022" s="2" t="s">
        <v>5197</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6958</v>
      </c>
      <c r="H3023" s="2" t="s">
        <v>5198</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6958</v>
      </c>
      <c r="H3024" s="2" t="s">
        <v>5199</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6958</v>
      </c>
      <c r="H3026" s="2" t="s">
        <v>5200</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6958</v>
      </c>
      <c r="H3027" s="2" t="s">
        <v>5201</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6958</v>
      </c>
      <c r="H3028" s="2" t="s">
        <v>5202</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6958</v>
      </c>
      <c r="H3029" s="2" t="s">
        <v>5203</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6958</v>
      </c>
      <c r="H3105" s="2" t="s">
        <v>5204</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6958</v>
      </c>
      <c r="H3114" s="2" t="s">
        <v>5205</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41000</v>
      </c>
      <c r="C3169" s="3">
        <f t="shared" ref="C3169:C3205" si="85">A3169-B3169</f>
        <v>-37836</v>
      </c>
      <c r="E3169" s="2" t="b">
        <f t="shared" ca="1" si="84"/>
        <v>1</v>
      </c>
      <c r="F3169" s="2" cm="1">
        <f t="array" aca="1" ref="F3169" ca="1">IF(G3169&lt;&gt;"",INDIRECT("'"&amp;G3169&amp;"'!"&amp;H3169),"")</f>
        <v>41000</v>
      </c>
      <c r="G3169" s="1582" t="s">
        <v>6958</v>
      </c>
      <c r="H3169" s="2" t="s">
        <v>5206</v>
      </c>
    </row>
    <row r="3170" spans="1:11" x14ac:dyDescent="0.2">
      <c r="A3170">
        <v>3165</v>
      </c>
      <c r="B3170" s="7">
        <f>'BudgetSum 2-4'!I9</f>
        <v>41000</v>
      </c>
      <c r="C3170" s="3">
        <f t="shared" si="85"/>
        <v>-37835</v>
      </c>
      <c r="E3170" s="2" t="b">
        <f t="shared" ca="1" si="84"/>
        <v>1</v>
      </c>
      <c r="F3170" s="2" cm="1">
        <f t="array" aca="1" ref="F3170" ca="1">IF(G3170&lt;&gt;"",INDIRECT("'"&amp;G3170&amp;"'!"&amp;H3170),"")</f>
        <v>41000</v>
      </c>
      <c r="G3170" s="1582" t="s">
        <v>6958</v>
      </c>
      <c r="H3170" s="2" t="s">
        <v>5207</v>
      </c>
    </row>
    <row r="3171" spans="1:11" x14ac:dyDescent="0.2">
      <c r="A3171">
        <v>3166</v>
      </c>
      <c r="B3171" s="7">
        <f>'BudgetSum 2-4'!I22</f>
        <v>41000</v>
      </c>
      <c r="C3171" s="3">
        <f t="shared" si="85"/>
        <v>-37834</v>
      </c>
      <c r="E3171" s="2" t="b">
        <f t="shared" ca="1" si="84"/>
        <v>1</v>
      </c>
      <c r="F3171" s="2" cm="1">
        <f t="array" aca="1" ref="F3171" ca="1">IF(G3171&lt;&gt;"",INDIRECT("'"&amp;G3171&amp;"'!"&amp;H3171),"")</f>
        <v>41000</v>
      </c>
      <c r="G3171" s="1582" t="s">
        <v>6958</v>
      </c>
      <c r="H3171" s="2" t="s">
        <v>5208</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6958</v>
      </c>
      <c r="H3172" s="2" t="s">
        <v>5209</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6958</v>
      </c>
      <c r="H3173" s="2" t="s">
        <v>4542</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6958</v>
      </c>
      <c r="H3174" s="2" t="s">
        <v>5210</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6958</v>
      </c>
      <c r="H3175" s="2" t="s">
        <v>5211</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6958</v>
      </c>
      <c r="H3176" s="2" t="s">
        <v>5212</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6958</v>
      </c>
      <c r="H3178" s="2" t="s">
        <v>5213</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6958</v>
      </c>
      <c r="H3179" s="2" t="s">
        <v>4579</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6958</v>
      </c>
      <c r="H3180" s="2" t="s">
        <v>5214</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6958</v>
      </c>
      <c r="H3181" s="2" t="s">
        <v>5215</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6958</v>
      </c>
      <c r="H3182" s="2" t="s">
        <v>5216</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6958</v>
      </c>
      <c r="H3195" s="2" t="s">
        <v>5217</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6958</v>
      </c>
      <c r="H3196" s="2" t="s">
        <v>4654</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6958</v>
      </c>
      <c r="H3197" s="2" t="s">
        <v>5218</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6958</v>
      </c>
      <c r="H3198" s="2" t="s">
        <v>5219</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6958</v>
      </c>
      <c r="H3199" s="2" t="s">
        <v>5220</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6958</v>
      </c>
      <c r="H3201" s="2" t="s">
        <v>5221</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6958</v>
      </c>
      <c r="H3202" s="2" t="s">
        <v>4692</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6958</v>
      </c>
      <c r="H3203" s="2" t="s">
        <v>5098</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6958</v>
      </c>
      <c r="H3204" s="2" t="s">
        <v>5222</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6958</v>
      </c>
      <c r="H3205" s="2" t="s">
        <v>5223</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6958</v>
      </c>
      <c r="H3217" s="2" t="s">
        <v>5224</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6958</v>
      </c>
      <c r="H3218" s="2" t="s">
        <v>4617</v>
      </c>
    </row>
    <row r="3219" spans="1:11" x14ac:dyDescent="0.2">
      <c r="A3219">
        <v>3214</v>
      </c>
      <c r="B3219" s="7">
        <f>'BudgetSum 2-4'!E78</f>
        <v>0</v>
      </c>
      <c r="C3219" s="3">
        <f t="shared" si="87"/>
        <v>3214</v>
      </c>
      <c r="E3219" s="2" t="b">
        <f t="shared" ca="1" si="86"/>
        <v>1</v>
      </c>
      <c r="F3219" s="2" cm="1">
        <f t="array" aca="1" ref="F3219" ca="1">IF(G3219&lt;&gt;"",INDIRECT("'"&amp;G3219&amp;"'!"&amp;H3219),"")</f>
        <v>0</v>
      </c>
      <c r="G3219" s="1582" t="s">
        <v>6958</v>
      </c>
      <c r="H3219" s="2" t="s">
        <v>5225</v>
      </c>
    </row>
    <row r="3220" spans="1:11" x14ac:dyDescent="0.2">
      <c r="A3220">
        <v>3215</v>
      </c>
      <c r="B3220" s="7">
        <f>'BudgetSum 2-4'!E79</f>
        <v>0</v>
      </c>
      <c r="C3220" s="3">
        <f t="shared" si="87"/>
        <v>3215</v>
      </c>
      <c r="E3220" s="2" t="b">
        <f t="shared" ca="1" si="86"/>
        <v>1</v>
      </c>
      <c r="F3220" s="2" cm="1">
        <f t="array" aca="1" ref="F3220" ca="1">IF(G3220&lt;&gt;"",INDIRECT("'"&amp;G3220&amp;"'!"&amp;H3220),"")</f>
        <v>0</v>
      </c>
      <c r="G3220" s="1582" t="s">
        <v>6958</v>
      </c>
      <c r="H3220" s="2" t="s">
        <v>5226</v>
      </c>
    </row>
    <row r="3221" spans="1:11" x14ac:dyDescent="0.2">
      <c r="A3221">
        <v>3216</v>
      </c>
      <c r="B3221" s="7">
        <f>'BudgetSum 2-4'!E80</f>
        <v>0</v>
      </c>
      <c r="C3221" s="3">
        <f t="shared" si="87"/>
        <v>3216</v>
      </c>
      <c r="E3221" s="2" t="b">
        <f t="shared" ca="1" si="86"/>
        <v>1</v>
      </c>
      <c r="F3221" s="2" cm="1">
        <f t="array" aca="1" ref="F3221" ca="1">IF(G3221&lt;&gt;"",INDIRECT("'"&amp;G3221&amp;"'!"&amp;H3221),"")</f>
        <v>0</v>
      </c>
      <c r="G3221" s="1582" t="s">
        <v>6958</v>
      </c>
      <c r="H3221" s="2" t="s">
        <v>5155</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6958</v>
      </c>
      <c r="H3239" s="2" t="s">
        <v>5227</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6958</v>
      </c>
      <c r="H3240" s="2" t="s">
        <v>4729</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6958</v>
      </c>
      <c r="H3241" s="2" t="s">
        <v>5228</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6958</v>
      </c>
      <c r="H3242" s="2" t="s">
        <v>5229</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6958</v>
      </c>
      <c r="H3243" s="2" t="s">
        <v>5160</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6958</v>
      </c>
      <c r="H3260" s="2" t="s">
        <v>5230</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6958</v>
      </c>
      <c r="H3261" s="2" t="s">
        <v>5231</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6958</v>
      </c>
      <c r="H3262" s="2" t="s">
        <v>5232</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6958</v>
      </c>
      <c r="H3263" s="2" t="s">
        <v>5233</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456568</v>
      </c>
      <c r="C3265" s="3">
        <f t="shared" si="87"/>
        <v>-453308</v>
      </c>
      <c r="E3265" s="2" t="b">
        <f t="shared" ca="1" si="86"/>
        <v>1</v>
      </c>
      <c r="F3265" s="2" cm="1">
        <f t="array" aca="1" ref="F3265" ca="1">IF(G3265&lt;&gt;"",INDIRECT("'"&amp;G3265&amp;"'!"&amp;H3265),"")</f>
        <v>456568</v>
      </c>
      <c r="G3265" s="1582" t="s">
        <v>6958</v>
      </c>
      <c r="H3265" s="2" t="s">
        <v>5234</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497568</v>
      </c>
      <c r="C3267" s="3">
        <f t="shared" si="87"/>
        <v>-494306</v>
      </c>
      <c r="E3267" s="2" t="b">
        <f t="shared" ca="1" si="88"/>
        <v>1</v>
      </c>
      <c r="F3267" s="2" cm="1">
        <f t="array" aca="1" ref="F3267" ca="1">IF(G3267&lt;&gt;"",INDIRECT("'"&amp;G3267&amp;"'!"&amp;H3267),"")</f>
        <v>497568</v>
      </c>
      <c r="G3267" s="1582" t="s">
        <v>6958</v>
      </c>
      <c r="H3267" s="2" t="s">
        <v>5235</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282300</v>
      </c>
      <c r="C3310" s="3">
        <f t="shared" ref="C3310:C3335" si="89">A3310-B3310</f>
        <v>-278995</v>
      </c>
      <c r="E3310" s="2" t="b">
        <f t="shared" ca="1" si="88"/>
        <v>1</v>
      </c>
      <c r="F3310" s="2" cm="1">
        <f t="array" aca="1" ref="F3310" ca="1">IF(G3310&lt;&gt;"",INDIRECT("'"&amp;G3310&amp;"'!"&amp;H3310),"")</f>
        <v>282300</v>
      </c>
      <c r="G3310" s="1582" t="s">
        <v>6960</v>
      </c>
      <c r="H3310" s="2" t="s">
        <v>4427</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6960</v>
      </c>
      <c r="H3311" s="2" t="s">
        <v>4428</v>
      </c>
    </row>
    <row r="3312" spans="1:11" x14ac:dyDescent="0.2">
      <c r="A3312">
        <v>3307</v>
      </c>
      <c r="B3312" s="7">
        <f>'EstExp 12-20'!D8</f>
        <v>32400</v>
      </c>
      <c r="C3312" s="3">
        <f t="shared" si="89"/>
        <v>-29093</v>
      </c>
      <c r="E3312" s="2" t="b">
        <f t="shared" ca="1" si="88"/>
        <v>1</v>
      </c>
      <c r="F3312" s="2" cm="1">
        <f t="array" aca="1" ref="F3312" ca="1">IF(G3312&lt;&gt;"",INDIRECT("'"&amp;G3312&amp;"'!"&amp;H3312),"")</f>
        <v>32400</v>
      </c>
      <c r="G3312" s="1582" t="s">
        <v>6960</v>
      </c>
      <c r="H3312" s="2" t="s">
        <v>4449</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6960</v>
      </c>
      <c r="H3313" s="2" t="s">
        <v>4440</v>
      </c>
    </row>
    <row r="3314" spans="1:11" x14ac:dyDescent="0.2">
      <c r="A3314">
        <v>3309</v>
      </c>
      <c r="B3314" s="7">
        <f>'EstExp 12-20'!E8</f>
        <v>140700</v>
      </c>
      <c r="C3314" s="3">
        <f t="shared" si="89"/>
        <v>-137391</v>
      </c>
      <c r="E3314" s="2" t="b">
        <f t="shared" ca="1" si="88"/>
        <v>1</v>
      </c>
      <c r="F3314" s="2" cm="1">
        <f t="array" aca="1" ref="F3314" ca="1">IF(G3314&lt;&gt;"",INDIRECT("'"&amp;G3314&amp;"'!"&amp;H3314),"")</f>
        <v>140700</v>
      </c>
      <c r="G3314" s="1582" t="s">
        <v>6960</v>
      </c>
      <c r="H3314" s="2" t="s">
        <v>5236</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6960</v>
      </c>
      <c r="H3315" s="2" t="s">
        <v>4450</v>
      </c>
    </row>
    <row r="3316" spans="1:11" x14ac:dyDescent="0.2">
      <c r="A3316">
        <v>3311</v>
      </c>
      <c r="B3316" s="7">
        <f>'EstExp 12-20'!F8</f>
        <v>4300</v>
      </c>
      <c r="C3316" s="3">
        <f t="shared" si="89"/>
        <v>-989</v>
      </c>
      <c r="E3316" s="2" t="b">
        <f t="shared" ca="1" si="88"/>
        <v>1</v>
      </c>
      <c r="F3316" s="2" cm="1">
        <f t="array" aca="1" ref="F3316" ca="1">IF(G3316&lt;&gt;"",INDIRECT("'"&amp;G3316&amp;"'!"&amp;H3316),"")</f>
        <v>4300</v>
      </c>
      <c r="G3316" s="1582" t="s">
        <v>6960</v>
      </c>
      <c r="H3316" s="2" t="s">
        <v>5079</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6960</v>
      </c>
      <c r="H3317" s="2" t="s">
        <v>4462</v>
      </c>
    </row>
    <row r="3318" spans="1:11" x14ac:dyDescent="0.2">
      <c r="A3318">
        <v>3313</v>
      </c>
      <c r="B3318" s="7">
        <f>'EstExp 12-20'!G8</f>
        <v>1000</v>
      </c>
      <c r="C3318" s="3">
        <f t="shared" si="89"/>
        <v>2313</v>
      </c>
      <c r="E3318" s="2" t="b">
        <f t="shared" ca="1" si="88"/>
        <v>1</v>
      </c>
      <c r="F3318" s="2" cm="1">
        <f t="array" aca="1" ref="F3318" ca="1">IF(G3318&lt;&gt;"",INDIRECT("'"&amp;G3318&amp;"'!"&amp;H3318),"")</f>
        <v>1000</v>
      </c>
      <c r="G3318" s="1582" t="s">
        <v>6960</v>
      </c>
      <c r="H3318" s="2" t="s">
        <v>5083</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6960</v>
      </c>
      <c r="H3319" s="2" t="s">
        <v>4472</v>
      </c>
    </row>
    <row r="3320" spans="1:11" x14ac:dyDescent="0.2">
      <c r="A3320">
        <v>3315</v>
      </c>
      <c r="B3320" s="7">
        <f>'EstExp 12-20'!H8</f>
        <v>1000</v>
      </c>
      <c r="C3320" s="3">
        <f t="shared" si="89"/>
        <v>2315</v>
      </c>
      <c r="E3320" s="2" t="b">
        <f t="shared" ca="1" si="88"/>
        <v>1</v>
      </c>
      <c r="F3320" s="2" cm="1">
        <f t="array" aca="1" ref="F3320" ca="1">IF(G3320&lt;&gt;"",INDIRECT("'"&amp;G3320&amp;"'!"&amp;H3320),"")</f>
        <v>1000</v>
      </c>
      <c r="G3320" s="1582" t="s">
        <v>6960</v>
      </c>
      <c r="H3320" s="2" t="s">
        <v>5091</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6960</v>
      </c>
      <c r="H3321" s="2" t="s">
        <v>4480</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461700</v>
      </c>
      <c r="C3324" s="3">
        <f t="shared" si="89"/>
        <v>-458381</v>
      </c>
      <c r="E3324" s="2" t="b">
        <f t="shared" ca="1" si="88"/>
        <v>1</v>
      </c>
      <c r="F3324" s="2" cm="1">
        <f t="array" aca="1" ref="F3324" ca="1">IF(G3324&lt;&gt;"",INDIRECT("'"&amp;G3324&amp;"'!"&amp;H3324),"")</f>
        <v>461700</v>
      </c>
      <c r="G3324" s="1582" t="s">
        <v>6960</v>
      </c>
      <c r="H3324" s="2" t="s">
        <v>5237</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6960</v>
      </c>
      <c r="H3325" s="2" t="s">
        <v>4500</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29100</v>
      </c>
      <c r="C3331" s="3">
        <f t="shared" si="89"/>
        <v>-25774</v>
      </c>
      <c r="E3331" s="2" t="b">
        <f t="shared" ca="1" si="90"/>
        <v>1</v>
      </c>
      <c r="F3331" s="2" cm="1">
        <f t="array" aca="1" ref="F3331" ca="1">IF(G3331&lt;&gt;"",INDIRECT("'"&amp;G3331&amp;"'!"&amp;H3331),"")</f>
        <v>29100</v>
      </c>
      <c r="G3331" s="1582" t="s">
        <v>6960</v>
      </c>
      <c r="H3331" s="2" t="s">
        <v>5238</v>
      </c>
    </row>
    <row r="3332" spans="1:11" x14ac:dyDescent="0.2">
      <c r="A3332">
        <v>3327</v>
      </c>
      <c r="B3332" s="7">
        <f>'EstExp 12-20'!D221</f>
        <v>13600</v>
      </c>
      <c r="C3332" s="3">
        <f t="shared" si="89"/>
        <v>-10273</v>
      </c>
      <c r="E3332" s="2" t="b">
        <f t="shared" ca="1" si="90"/>
        <v>1</v>
      </c>
      <c r="F3332" s="2" cm="1">
        <f t="array" aca="1" ref="F3332" ca="1">IF(G3332&lt;&gt;"",INDIRECT("'"&amp;G3332&amp;"'!"&amp;H3332),"")</f>
        <v>13600</v>
      </c>
      <c r="G3332" s="1582" t="s">
        <v>6960</v>
      </c>
      <c r="H3332" s="2" t="s">
        <v>5239</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6960</v>
      </c>
      <c r="H3333" s="2" t="s">
        <v>5240</v>
      </c>
    </row>
    <row r="3334" spans="1:11" x14ac:dyDescent="0.2">
      <c r="A3334">
        <v>3329</v>
      </c>
      <c r="B3334" s="7">
        <f>'EstExp 12-20'!K219</f>
        <v>29100</v>
      </c>
      <c r="C3334" s="3">
        <f t="shared" si="89"/>
        <v>-25771</v>
      </c>
      <c r="E3334" s="2" t="b">
        <f t="shared" ca="1" si="90"/>
        <v>1</v>
      </c>
      <c r="F3334" s="2" cm="1">
        <f t="array" aca="1" ref="F3334" ca="1">IF(G3334&lt;&gt;"",INDIRECT("'"&amp;G3334&amp;"'!"&amp;H3334),"")</f>
        <v>29100</v>
      </c>
      <c r="G3334" s="1582" t="s">
        <v>6960</v>
      </c>
      <c r="H3334" s="2" t="s">
        <v>5241</v>
      </c>
    </row>
    <row r="3335" spans="1:11" x14ac:dyDescent="0.2">
      <c r="A3335">
        <v>3330</v>
      </c>
      <c r="B3335" s="7">
        <f>'EstExp 12-20'!K221</f>
        <v>13600</v>
      </c>
      <c r="C3335" s="3">
        <f t="shared" si="89"/>
        <v>-10270</v>
      </c>
      <c r="E3335" s="2" t="b">
        <f t="shared" ca="1" si="90"/>
        <v>1</v>
      </c>
      <c r="F3335" s="2" cm="1">
        <f t="array" aca="1" ref="F3335" ca="1">IF(G3335&lt;&gt;"",INDIRECT("'"&amp;G3335&amp;"'!"&amp;H3335),"")</f>
        <v>13600</v>
      </c>
      <c r="G3335" s="1582" t="s">
        <v>6960</v>
      </c>
      <c r="H3335" s="2" t="s">
        <v>5242</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6960</v>
      </c>
      <c r="H3336" s="2" t="s">
        <v>5243</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82" t="s">
        <v>6958</v>
      </c>
      <c r="H3349" s="2" t="s">
        <v>5244</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6958</v>
      </c>
      <c r="H3350" s="2" t="s">
        <v>5245</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6958</v>
      </c>
      <c r="H3352" s="2" t="s">
        <v>5246</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6958</v>
      </c>
      <c r="H3353" s="2" t="s">
        <v>5247</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5936882</v>
      </c>
      <c r="C3355" s="3">
        <f t="shared" si="91"/>
        <v>-5933532</v>
      </c>
      <c r="E3355" s="2" t="b">
        <f t="shared" ca="1" si="90"/>
        <v>1</v>
      </c>
      <c r="F3355" s="2" cm="1">
        <f t="array" aca="1" ref="F3355" ca="1">IF(G3355&lt;&gt;"",INDIRECT("'"&amp;G3355&amp;"'!"&amp;H3355),"")</f>
        <v>5936882</v>
      </c>
      <c r="G3355" s="1582" t="s">
        <v>6959</v>
      </c>
      <c r="H3355" s="2" t="s">
        <v>5051</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1109562</v>
      </c>
      <c r="C3358" s="3">
        <f t="shared" si="91"/>
        <v>-1106209</v>
      </c>
      <c r="E3358" s="2" t="b">
        <f t="shared" ca="1" si="90"/>
        <v>1</v>
      </c>
      <c r="F3358" s="2" cm="1">
        <f t="array" aca="1" ref="F3358" ca="1">IF(G3358&lt;&gt;"",INDIRECT("'"&amp;G3358&amp;"'!"&amp;H3358),"")</f>
        <v>1109562</v>
      </c>
      <c r="G3358" s="1582" t="s">
        <v>6959</v>
      </c>
      <c r="H3358" s="2" t="s">
        <v>5053</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140269</v>
      </c>
      <c r="C3361" s="3">
        <f t="shared" si="91"/>
        <v>-136913</v>
      </c>
      <c r="E3361" s="2" t="b">
        <f t="shared" ca="1" si="90"/>
        <v>1</v>
      </c>
      <c r="F3361" s="2" cm="1">
        <f t="array" aca="1" ref="F3361" ca="1">IF(G3361&lt;&gt;"",INDIRECT("'"&amp;G3361&amp;"'!"&amp;H3361),"")</f>
        <v>140269</v>
      </c>
      <c r="G3361" s="1582" t="s">
        <v>6959</v>
      </c>
      <c r="H3361" s="2" t="s">
        <v>5055</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489804</v>
      </c>
      <c r="C3363" s="3">
        <f t="shared" si="91"/>
        <v>-486446</v>
      </c>
      <c r="E3363" s="2" t="b">
        <f t="shared" ca="1" si="90"/>
        <v>1</v>
      </c>
      <c r="F3363" s="2" cm="1">
        <f t="array" aca="1" ref="F3363" ca="1">IF(G3363&lt;&gt;"",INDIRECT("'"&amp;G3363&amp;"'!"&amp;H3363),"")</f>
        <v>489804</v>
      </c>
      <c r="G3363" s="1582" t="s">
        <v>6959</v>
      </c>
      <c r="H3363" s="2" t="s">
        <v>5057</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153257</v>
      </c>
      <c r="C3366" s="3">
        <f t="shared" si="91"/>
        <v>-149896</v>
      </c>
      <c r="E3366" s="2" t="b">
        <f t="shared" ca="1" si="90"/>
        <v>1</v>
      </c>
      <c r="F3366" s="2" cm="1">
        <f t="array" aca="1" ref="F3366" ca="1">IF(G3366&lt;&gt;"",INDIRECT("'"&amp;G3366&amp;"'!"&amp;H3366),"")</f>
        <v>153257</v>
      </c>
      <c r="G3366" s="1582" t="s">
        <v>6959</v>
      </c>
      <c r="H3366" s="2" t="s">
        <v>5059</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0</v>
      </c>
      <c r="C3369" s="3">
        <f t="shared" si="91"/>
        <v>3364</v>
      </c>
      <c r="E3369" s="2" t="b">
        <f t="shared" ca="1" si="90"/>
        <v>1</v>
      </c>
      <c r="F3369" s="2" cm="1">
        <f t="array" aca="1" ref="F3369" ca="1">IF(G3369&lt;&gt;"",INDIRECT("'"&amp;G3369&amp;"'!"&amp;H3369),"")</f>
        <v>0</v>
      </c>
      <c r="G3369" s="1582" t="s">
        <v>6959</v>
      </c>
      <c r="H3369" s="2" t="s">
        <v>5061</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456568</v>
      </c>
      <c r="C3371" s="3">
        <f t="shared" si="91"/>
        <v>-453202</v>
      </c>
      <c r="E3371" s="2" t="b">
        <f t="shared" ca="1" si="90"/>
        <v>1</v>
      </c>
      <c r="F3371" s="2" cm="1">
        <f t="array" aca="1" ref="F3371" ca="1">IF(G3371&lt;&gt;"",INDIRECT("'"&amp;G3371&amp;"'!"&amp;H3371),"")</f>
        <v>456568</v>
      </c>
      <c r="G3371" s="1582" t="s">
        <v>6959</v>
      </c>
      <c r="H3371" s="2" t="s">
        <v>5234</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6960</v>
      </c>
      <c r="H3426" s="2" t="s">
        <v>5248</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6960</v>
      </c>
      <c r="H3427" s="2" t="s">
        <v>5249</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6960</v>
      </c>
      <c r="H3428" s="2" t="s">
        <v>5250</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6960</v>
      </c>
      <c r="H3429" s="2" t="s">
        <v>5251</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6960</v>
      </c>
      <c r="H3430" s="2" t="s">
        <v>5252</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6960</v>
      </c>
      <c r="H3431" s="2" t="s">
        <v>5253</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6960</v>
      </c>
      <c r="H3432" s="2" t="s">
        <v>5254</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6958</v>
      </c>
      <c r="H3434" s="2" t="s">
        <v>5255</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6958</v>
      </c>
      <c r="H3436" s="2" t="s">
        <v>5256</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6958</v>
      </c>
      <c r="H3437" s="2" t="s">
        <v>5257</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6958</v>
      </c>
      <c r="H3474" s="2" t="s">
        <v>4535</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6958</v>
      </c>
      <c r="H3475" s="2" t="s">
        <v>4572</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6958</v>
      </c>
      <c r="H3476" s="2" t="s">
        <v>4647</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6958</v>
      </c>
      <c r="H3477" s="2" t="s">
        <v>4685</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6958</v>
      </c>
      <c r="H3478" s="2" t="s">
        <v>4722</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22687</v>
      </c>
      <c r="C3490" s="3">
        <f t="shared" si="95"/>
        <v>-19202</v>
      </c>
      <c r="E3490" s="2" t="b">
        <f t="shared" ca="1" si="94"/>
        <v>1</v>
      </c>
      <c r="F3490" s="2" cm="1">
        <f t="array" aca="1" ref="F3490" ca="1">IF(G3490&lt;&gt;"",INDIRECT("'"&amp;G3490&amp;"'!"&amp;H3490),"")</f>
        <v>22687</v>
      </c>
      <c r="G3490" s="1582" t="s">
        <v>6959</v>
      </c>
      <c r="H3490" s="2" t="s">
        <v>5258</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0</v>
      </c>
      <c r="C3513" s="3">
        <f t="shared" si="95"/>
        <v>3508</v>
      </c>
      <c r="E3513" s="2" t="b">
        <f t="shared" ca="1" si="94"/>
        <v>1</v>
      </c>
      <c r="F3513" s="2" cm="1">
        <f t="array" aca="1" ref="F3513" ca="1">IF(G3513&lt;&gt;"",INDIRECT("'"&amp;G3513&amp;"'!"&amp;H3513),"")</f>
        <v>0</v>
      </c>
      <c r="G3513" s="1582" t="s">
        <v>6958</v>
      </c>
      <c r="H3513" s="2" t="s">
        <v>4761</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6958</v>
      </c>
      <c r="H3514" s="2" t="s">
        <v>5259</v>
      </c>
    </row>
    <row r="3515" spans="1:8" x14ac:dyDescent="0.2">
      <c r="A3515">
        <v>3510</v>
      </c>
      <c r="B3515" s="7">
        <f>'BudgetSum 2-4'!K9</f>
        <v>0</v>
      </c>
      <c r="C3515" s="3">
        <f t="shared" si="95"/>
        <v>3510</v>
      </c>
      <c r="E3515" s="2" t="b">
        <f t="shared" ca="1" si="94"/>
        <v>1</v>
      </c>
      <c r="F3515" s="2" cm="1">
        <f t="array" aca="1" ref="F3515" ca="1">IF(G3515&lt;&gt;"",INDIRECT("'"&amp;G3515&amp;"'!"&amp;H3515),"")</f>
        <v>0</v>
      </c>
      <c r="G3515" s="1582" t="s">
        <v>6958</v>
      </c>
      <c r="H3515" s="2" t="s">
        <v>5260</v>
      </c>
    </row>
    <row r="3516" spans="1:8" x14ac:dyDescent="0.2">
      <c r="A3516">
        <v>3511</v>
      </c>
      <c r="B3516" s="7">
        <f>'BudgetSum 2-4'!K14</f>
        <v>0</v>
      </c>
      <c r="C3516" s="3">
        <f t="shared" si="95"/>
        <v>3511</v>
      </c>
      <c r="E3516" s="2" t="b">
        <f t="shared" ca="1" si="94"/>
        <v>1</v>
      </c>
      <c r="F3516" s="2" cm="1">
        <f t="array" aca="1" ref="F3516" ca="1">IF(G3516&lt;&gt;"",INDIRECT("'"&amp;G3516&amp;"'!"&amp;H3516),"")</f>
        <v>0</v>
      </c>
      <c r="G3516" s="1582" t="s">
        <v>6958</v>
      </c>
      <c r="H3516" s="2" t="s">
        <v>4762</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6958</v>
      </c>
      <c r="H3517" s="2" t="s">
        <v>4498</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6958</v>
      </c>
      <c r="H3518" s="2" t="s">
        <v>4499</v>
      </c>
    </row>
    <row r="3519" spans="1:8" x14ac:dyDescent="0.2">
      <c r="A3519">
        <v>3514</v>
      </c>
      <c r="B3519" s="7">
        <f>'BudgetSum 2-4'!K19</f>
        <v>0</v>
      </c>
      <c r="C3519" s="3">
        <f t="shared" si="95"/>
        <v>3514</v>
      </c>
      <c r="E3519" s="2" t="b">
        <f t="shared" ca="1" si="94"/>
        <v>1</v>
      </c>
      <c r="F3519" s="2" cm="1">
        <f t="array" aca="1" ref="F3519" ca="1">IF(G3519&lt;&gt;"",INDIRECT("'"&amp;G3519&amp;"'!"&amp;H3519),"")</f>
        <v>0</v>
      </c>
      <c r="G3519" s="1582" t="s">
        <v>6958</v>
      </c>
      <c r="H3519" s="2" t="s">
        <v>4500</v>
      </c>
    </row>
    <row r="3520" spans="1:8" x14ac:dyDescent="0.2">
      <c r="A3520">
        <v>3515</v>
      </c>
      <c r="B3520" s="7">
        <f>'BudgetSum 2-4'!K22</f>
        <v>0</v>
      </c>
      <c r="C3520" s="3">
        <f t="shared" si="95"/>
        <v>3515</v>
      </c>
      <c r="E3520" s="2" t="b">
        <f t="shared" ca="1" si="94"/>
        <v>1</v>
      </c>
      <c r="F3520" s="2" cm="1">
        <f t="array" aca="1" ref="F3520" ca="1">IF(G3520&lt;&gt;"",INDIRECT("'"&amp;G3520&amp;"'!"&amp;H3520),"")</f>
        <v>0</v>
      </c>
      <c r="G3520" s="1582" t="s">
        <v>6958</v>
      </c>
      <c r="H3520" s="2" t="s">
        <v>5261</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6958</v>
      </c>
      <c r="H3521" s="2" t="s">
        <v>5262</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6958</v>
      </c>
      <c r="H3522" s="2" t="s">
        <v>5263</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6958</v>
      </c>
      <c r="H3523" s="2" t="s">
        <v>5264</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6958</v>
      </c>
      <c r="H3524" s="2" t="s">
        <v>5265</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6958</v>
      </c>
      <c r="H3525" s="2" t="s">
        <v>5266</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6958</v>
      </c>
      <c r="H3526" s="2" t="s">
        <v>4765</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6958</v>
      </c>
      <c r="H3527" s="2" t="s">
        <v>5267</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6958</v>
      </c>
      <c r="H3528" s="2" t="s">
        <v>4772</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6958</v>
      </c>
      <c r="H3530" s="2" t="s">
        <v>5268</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6958</v>
      </c>
      <c r="H3531" s="2" t="s">
        <v>5165</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22687</v>
      </c>
      <c r="C3533" s="3">
        <f t="shared" si="97"/>
        <v>-19159</v>
      </c>
      <c r="E3533" s="2" t="b">
        <f t="shared" ca="1" si="96"/>
        <v>1</v>
      </c>
      <c r="F3533" s="2" cm="1">
        <f t="array" aca="1" ref="F3533" ca="1">IF(G3533&lt;&gt;"",INDIRECT("'"&amp;G3533&amp;"'!"&amp;H3533),"")</f>
        <v>22687</v>
      </c>
      <c r="G3533" s="1582" t="s">
        <v>6958</v>
      </c>
      <c r="H3533" s="2" t="s">
        <v>5258</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22687</v>
      </c>
      <c r="C3535" s="3">
        <f t="shared" si="97"/>
        <v>-19157</v>
      </c>
      <c r="E3535" s="2" t="b">
        <f t="shared" ca="1" si="96"/>
        <v>1</v>
      </c>
      <c r="F3535" s="2" cm="1">
        <f t="array" aca="1" ref="F3535" ca="1">IF(G3535&lt;&gt;"",INDIRECT("'"&amp;G3535&amp;"'!"&amp;H3535),"")</f>
        <v>22687</v>
      </c>
      <c r="G3535" s="1582" t="s">
        <v>6958</v>
      </c>
      <c r="H3535" s="2" t="s">
        <v>5166</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6960</v>
      </c>
      <c r="H3561" s="2" t="s">
        <v>5269</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6960</v>
      </c>
      <c r="H3562" s="2" t="s">
        <v>5270</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6960</v>
      </c>
      <c r="H3563" s="2" t="s">
        <v>5271</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6960</v>
      </c>
      <c r="H3564" s="2" t="s">
        <v>5272</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6960</v>
      </c>
      <c r="H3565" s="2" t="s">
        <v>5273</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6960</v>
      </c>
      <c r="H3566" s="2" t="s">
        <v>5274</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6960</v>
      </c>
      <c r="H3568" s="2" t="s">
        <v>5275</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6960</v>
      </c>
      <c r="H3569" s="2" t="s">
        <v>5276</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6960</v>
      </c>
      <c r="H3570" s="2" t="s">
        <v>5277</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6960</v>
      </c>
      <c r="H3571" s="2" t="s">
        <v>5278</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6960</v>
      </c>
      <c r="H3572" s="2" t="s">
        <v>5279</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6960</v>
      </c>
      <c r="H3573" s="2" t="s">
        <v>5280</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6960</v>
      </c>
      <c r="H3575" s="2" t="s">
        <v>5281</v>
      </c>
    </row>
    <row r="3576" spans="1:11" x14ac:dyDescent="0.2">
      <c r="A3576">
        <v>3571</v>
      </c>
      <c r="B3576" s="7">
        <f>'EstExp 12-20'!E435</f>
        <v>0</v>
      </c>
      <c r="C3576" s="3">
        <f t="shared" si="97"/>
        <v>3571</v>
      </c>
      <c r="E3576" s="2" t="b">
        <f t="shared" ca="1" si="96"/>
        <v>1</v>
      </c>
      <c r="F3576" s="2" cm="1">
        <f t="array" aca="1" ref="F3576" ca="1">IF(G3576&lt;&gt;"",INDIRECT("'"&amp;G3576&amp;"'!"&amp;H3576),"")</f>
        <v>0</v>
      </c>
      <c r="G3576" s="1582" t="s">
        <v>6960</v>
      </c>
      <c r="H3576" s="2" t="s">
        <v>5282</v>
      </c>
    </row>
    <row r="3577" spans="1:11" x14ac:dyDescent="0.2">
      <c r="A3577">
        <v>3572</v>
      </c>
      <c r="B3577" s="7">
        <f>'EstExp 12-20'!E436</f>
        <v>0</v>
      </c>
      <c r="C3577" s="3">
        <f t="shared" si="97"/>
        <v>3572</v>
      </c>
      <c r="E3577" s="2" t="b">
        <f t="shared" ca="1" si="96"/>
        <v>1</v>
      </c>
      <c r="F3577" s="2" cm="1">
        <f t="array" aca="1" ref="F3577" ca="1">IF(G3577&lt;&gt;"",INDIRECT("'"&amp;G3577&amp;"'!"&amp;H3577),"")</f>
        <v>0</v>
      </c>
      <c r="G3577" s="1582" t="s">
        <v>6960</v>
      </c>
      <c r="H3577" s="2" t="s">
        <v>5283</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6960</v>
      </c>
      <c r="H3578" s="2" t="s">
        <v>5284</v>
      </c>
    </row>
    <row r="3579" spans="1:11" x14ac:dyDescent="0.2">
      <c r="A3579">
        <v>3574</v>
      </c>
      <c r="B3579" s="7">
        <f>'EstExp 12-20'!E438</f>
        <v>0</v>
      </c>
      <c r="C3579" s="3">
        <f t="shared" si="97"/>
        <v>3574</v>
      </c>
      <c r="E3579" s="2" t="b">
        <f t="shared" ca="1" si="96"/>
        <v>1</v>
      </c>
      <c r="F3579" s="2" cm="1">
        <f t="array" aca="1" ref="F3579" ca="1">IF(G3579&lt;&gt;"",INDIRECT("'"&amp;G3579&amp;"'!"&amp;H3579),"")</f>
        <v>0</v>
      </c>
      <c r="G3579" s="1582" t="s">
        <v>6960</v>
      </c>
      <c r="H3579" s="2" t="s">
        <v>5285</v>
      </c>
    </row>
    <row r="3580" spans="1:11" x14ac:dyDescent="0.2">
      <c r="A3580">
        <v>3575</v>
      </c>
      <c r="B3580" s="7">
        <f>'EstExp 12-20'!E453</f>
        <v>0</v>
      </c>
      <c r="C3580" s="3">
        <f t="shared" si="97"/>
        <v>3575</v>
      </c>
      <c r="E3580" s="2" t="b">
        <f t="shared" ca="1" si="96"/>
        <v>1</v>
      </c>
      <c r="F3580" s="2" cm="1">
        <f t="array" aca="1" ref="F3580" ca="1">IF(G3580&lt;&gt;"",INDIRECT("'"&amp;G3580&amp;"'!"&amp;H3580),"")</f>
        <v>0</v>
      </c>
      <c r="G3580" s="1582" t="s">
        <v>6960</v>
      </c>
      <c r="H3580" s="2" t="s">
        <v>5286</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6960</v>
      </c>
      <c r="H3582" s="2" t="s">
        <v>5287</v>
      </c>
    </row>
    <row r="3583" spans="1:11" x14ac:dyDescent="0.2">
      <c r="A3583">
        <v>3578</v>
      </c>
      <c r="B3583" s="7">
        <f>'EstExp 12-20'!F435</f>
        <v>0</v>
      </c>
      <c r="C3583" s="3">
        <f t="shared" si="97"/>
        <v>3578</v>
      </c>
      <c r="E3583" s="2" t="b">
        <f t="shared" ca="1" si="96"/>
        <v>1</v>
      </c>
      <c r="F3583" s="2" cm="1">
        <f t="array" aca="1" ref="F3583" ca="1">IF(G3583&lt;&gt;"",INDIRECT("'"&amp;G3583&amp;"'!"&amp;H3583),"")</f>
        <v>0</v>
      </c>
      <c r="G3583" s="1582" t="s">
        <v>6960</v>
      </c>
      <c r="H3583" s="2" t="s">
        <v>5288</v>
      </c>
    </row>
    <row r="3584" spans="1:11" x14ac:dyDescent="0.2">
      <c r="A3584">
        <v>3579</v>
      </c>
      <c r="B3584" s="7">
        <f>'EstExp 12-20'!F436</f>
        <v>0</v>
      </c>
      <c r="C3584" s="3">
        <f t="shared" si="97"/>
        <v>3579</v>
      </c>
      <c r="E3584" s="2" t="b">
        <f t="shared" ca="1" si="96"/>
        <v>1</v>
      </c>
      <c r="F3584" s="2" cm="1">
        <f t="array" aca="1" ref="F3584" ca="1">IF(G3584&lt;&gt;"",INDIRECT("'"&amp;G3584&amp;"'!"&amp;H3584),"")</f>
        <v>0</v>
      </c>
      <c r="G3584" s="1582" t="s">
        <v>6960</v>
      </c>
      <c r="H3584" s="2" t="s">
        <v>5289</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6960</v>
      </c>
      <c r="H3585" s="2" t="s">
        <v>5290</v>
      </c>
    </row>
    <row r="3586" spans="1:11" x14ac:dyDescent="0.2">
      <c r="A3586">
        <v>3581</v>
      </c>
      <c r="B3586" s="7">
        <f>'EstExp 12-20'!F438</f>
        <v>0</v>
      </c>
      <c r="C3586" s="3">
        <f t="shared" si="97"/>
        <v>3581</v>
      </c>
      <c r="E3586" s="2" t="b">
        <f t="shared" ref="E3586:E3649" ca="1" si="98">F3586=B3586</f>
        <v>1</v>
      </c>
      <c r="F3586" s="2" cm="1">
        <f t="array" aca="1" ref="F3586" ca="1">IF(G3586&lt;&gt;"",INDIRECT("'"&amp;G3586&amp;"'!"&amp;H3586),"")</f>
        <v>0</v>
      </c>
      <c r="G3586" s="1582" t="s">
        <v>6960</v>
      </c>
      <c r="H3586" s="2" t="s">
        <v>5291</v>
      </c>
    </row>
    <row r="3587" spans="1:11" x14ac:dyDescent="0.2">
      <c r="A3587">
        <v>3582</v>
      </c>
      <c r="B3587" s="7">
        <f>'EstExp 12-20'!F453</f>
        <v>0</v>
      </c>
      <c r="C3587" s="3">
        <f t="shared" si="97"/>
        <v>3582</v>
      </c>
      <c r="E3587" s="2" t="b">
        <f t="shared" ca="1" si="98"/>
        <v>1</v>
      </c>
      <c r="F3587" s="2" cm="1">
        <f t="array" aca="1" ref="F3587" ca="1">IF(G3587&lt;&gt;"",INDIRECT("'"&amp;G3587&amp;"'!"&amp;H3587),"")</f>
        <v>0</v>
      </c>
      <c r="G3587" s="1582" t="s">
        <v>6960</v>
      </c>
      <c r="H3587" s="2" t="s">
        <v>5292</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6960</v>
      </c>
      <c r="H3589" s="2" t="s">
        <v>5293</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6960</v>
      </c>
      <c r="H3590" s="2" t="s">
        <v>5294</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6960</v>
      </c>
      <c r="H3591" s="2" t="s">
        <v>5295</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6960</v>
      </c>
      <c r="H3592" s="2" t="s">
        <v>5296</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6960</v>
      </c>
      <c r="H3593" s="2" t="s">
        <v>5297</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6960</v>
      </c>
      <c r="H3594" s="2" t="s">
        <v>5298</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6960</v>
      </c>
      <c r="H3596" s="2" t="s">
        <v>5299</v>
      </c>
    </row>
    <row r="3597" spans="1:11" x14ac:dyDescent="0.2">
      <c r="A3597">
        <v>3592</v>
      </c>
      <c r="B3597" s="7">
        <f>'EstExp 12-20'!H435</f>
        <v>0</v>
      </c>
      <c r="C3597" s="3">
        <f t="shared" si="99"/>
        <v>3592</v>
      </c>
      <c r="E3597" s="2" t="b">
        <f t="shared" ca="1" si="98"/>
        <v>1</v>
      </c>
      <c r="F3597" s="2" cm="1">
        <f t="array" aca="1" ref="F3597" ca="1">IF(G3597&lt;&gt;"",INDIRECT("'"&amp;G3597&amp;"'!"&amp;H3597),"")</f>
        <v>0</v>
      </c>
      <c r="G3597" s="1582" t="s">
        <v>6960</v>
      </c>
      <c r="H3597" s="2" t="s">
        <v>5300</v>
      </c>
    </row>
    <row r="3598" spans="1:11" x14ac:dyDescent="0.2">
      <c r="A3598">
        <v>3593</v>
      </c>
      <c r="B3598" s="7">
        <f>'EstExp 12-20'!H436</f>
        <v>0</v>
      </c>
      <c r="C3598" s="3">
        <f t="shared" si="99"/>
        <v>3593</v>
      </c>
      <c r="E3598" s="2" t="b">
        <f t="shared" ca="1" si="98"/>
        <v>1</v>
      </c>
      <c r="F3598" s="2" cm="1">
        <f t="array" aca="1" ref="F3598" ca="1">IF(G3598&lt;&gt;"",INDIRECT("'"&amp;G3598&amp;"'!"&amp;H3598),"")</f>
        <v>0</v>
      </c>
      <c r="G3598" s="1582" t="s">
        <v>6960</v>
      </c>
      <c r="H3598" s="2" t="s">
        <v>5301</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6960</v>
      </c>
      <c r="H3599" s="2" t="s">
        <v>5302</v>
      </c>
    </row>
    <row r="3600" spans="1:11" x14ac:dyDescent="0.2">
      <c r="A3600">
        <v>3595</v>
      </c>
      <c r="B3600" s="7">
        <f>'EstExp 12-20'!H438</f>
        <v>0</v>
      </c>
      <c r="C3600" s="3">
        <f t="shared" si="99"/>
        <v>3595</v>
      </c>
      <c r="E3600" s="2" t="b">
        <f t="shared" ca="1" si="98"/>
        <v>1</v>
      </c>
      <c r="F3600" s="2" cm="1">
        <f t="array" aca="1" ref="F3600" ca="1">IF(G3600&lt;&gt;"",INDIRECT("'"&amp;G3600&amp;"'!"&amp;H3600),"")</f>
        <v>0</v>
      </c>
      <c r="G3600" s="1582" t="s">
        <v>6960</v>
      </c>
      <c r="H3600" s="2" t="s">
        <v>5303</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6960</v>
      </c>
      <c r="H3601" s="2" t="s">
        <v>5304</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6960</v>
      </c>
      <c r="H3602" s="2" t="s">
        <v>5305</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82" t="s">
        <v>6960</v>
      </c>
      <c r="H3604" s="2" t="s">
        <v>5306</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6960</v>
      </c>
      <c r="H3606" s="2" t="s">
        <v>5307</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6960</v>
      </c>
      <c r="H3607" s="1583" t="s">
        <v>5308</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6960</v>
      </c>
      <c r="H3612" s="2" t="s">
        <v>5309</v>
      </c>
    </row>
    <row r="3613" spans="1:19" x14ac:dyDescent="0.2">
      <c r="A3613">
        <v>3608</v>
      </c>
      <c r="B3613" s="7">
        <f>'EstExp 12-20'!K435</f>
        <v>0</v>
      </c>
      <c r="C3613" s="3">
        <f t="shared" si="99"/>
        <v>3608</v>
      </c>
      <c r="E3613" s="2" t="b">
        <f t="shared" ca="1" si="98"/>
        <v>1</v>
      </c>
      <c r="F3613" s="2" cm="1">
        <f t="array" aca="1" ref="F3613" ca="1">IF(G3613&lt;&gt;"",INDIRECT("'"&amp;G3613&amp;"'!"&amp;H3613),"")</f>
        <v>0</v>
      </c>
      <c r="G3613" s="1582" t="s">
        <v>6960</v>
      </c>
      <c r="H3613" s="2" t="s">
        <v>5310</v>
      </c>
    </row>
    <row r="3614" spans="1:19" x14ac:dyDescent="0.2">
      <c r="A3614">
        <v>3609</v>
      </c>
      <c r="B3614" s="7">
        <f>'EstExp 12-20'!K436</f>
        <v>0</v>
      </c>
      <c r="C3614" s="3">
        <f t="shared" si="99"/>
        <v>3609</v>
      </c>
      <c r="E3614" s="2" t="b">
        <f t="shared" ca="1" si="98"/>
        <v>1</v>
      </c>
      <c r="F3614" s="2" cm="1">
        <f t="array" aca="1" ref="F3614" ca="1">IF(G3614&lt;&gt;"",INDIRECT("'"&amp;G3614&amp;"'!"&amp;H3614),"")</f>
        <v>0</v>
      </c>
      <c r="G3614" s="1582" t="s">
        <v>6960</v>
      </c>
      <c r="H3614" s="2" t="s">
        <v>5311</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6960</v>
      </c>
      <c r="H3615" s="2" t="s">
        <v>5312</v>
      </c>
    </row>
    <row r="3616" spans="1:19" x14ac:dyDescent="0.2">
      <c r="A3616">
        <v>3611</v>
      </c>
      <c r="B3616" s="7">
        <f>'EstExp 12-20'!K438</f>
        <v>0</v>
      </c>
      <c r="C3616" s="3">
        <f t="shared" si="99"/>
        <v>3611</v>
      </c>
      <c r="E3616" s="2" t="b">
        <f t="shared" ca="1" si="98"/>
        <v>1</v>
      </c>
      <c r="F3616" s="2" cm="1">
        <f t="array" aca="1" ref="F3616" ca="1">IF(G3616&lt;&gt;"",INDIRECT("'"&amp;G3616&amp;"'!"&amp;H3616),"")</f>
        <v>0</v>
      </c>
      <c r="G3616" s="1582" t="s">
        <v>6960</v>
      </c>
      <c r="H3616" s="2" t="s">
        <v>5313</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6960</v>
      </c>
      <c r="H3617" s="2" t="s">
        <v>5314</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6960</v>
      </c>
      <c r="H3618" s="2" t="s">
        <v>5315</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6960</v>
      </c>
      <c r="H3619" s="2" t="s">
        <v>5316</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6960</v>
      </c>
      <c r="H3620" s="2" t="s">
        <v>5317</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0</v>
      </c>
      <c r="C3622" s="3">
        <f t="shared" si="99"/>
        <v>3617</v>
      </c>
      <c r="E3622" s="2" t="b">
        <f t="shared" ca="1" si="98"/>
        <v>1</v>
      </c>
      <c r="F3622" s="2" cm="1">
        <f t="array" aca="1" ref="F3622" ca="1">IF(G3622&lt;&gt;"",INDIRECT("'"&amp;G3622&amp;"'!"&amp;H3622),"")</f>
        <v>0</v>
      </c>
      <c r="G3622" s="1582" t="s">
        <v>6960</v>
      </c>
      <c r="H3622" s="2" t="s">
        <v>5318</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0</v>
      </c>
      <c r="C3625" s="3">
        <f t="shared" si="99"/>
        <v>3620</v>
      </c>
      <c r="E3625" s="2" t="b">
        <f t="shared" ca="1" si="98"/>
        <v>1</v>
      </c>
      <c r="F3625" s="2" cm="1">
        <f t="array" aca="1" ref="F3625" ca="1">IF(G3625&lt;&gt;"",INDIRECT("'"&amp;G3625&amp;"'!"&amp;H3625),"")</f>
        <v>0</v>
      </c>
      <c r="G3625" s="1582" t="s">
        <v>6960</v>
      </c>
      <c r="H3625" s="2" t="s">
        <v>5319</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6958</v>
      </c>
      <c r="H3642" s="2" t="s">
        <v>5320</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6958</v>
      </c>
      <c r="H3643" s="2" t="s">
        <v>5321</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6958</v>
      </c>
      <c r="H3646" s="2" t="s">
        <v>4778</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6958</v>
      </c>
      <c r="H3647" s="2" t="s">
        <v>5322</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6960</v>
      </c>
      <c r="H3661" s="2" t="s">
        <v>5323</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6958</v>
      </c>
      <c r="H3662" s="2" t="s">
        <v>5237</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6960</v>
      </c>
      <c r="H3665" s="2" t="s">
        <v>5324</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6960</v>
      </c>
      <c r="H3666" s="2" t="s">
        <v>5325</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6960</v>
      </c>
      <c r="H3667" s="2" t="s">
        <v>5326</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6960</v>
      </c>
      <c r="H3668" s="2" t="s">
        <v>5327</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6960</v>
      </c>
      <c r="H4018" s="2" t="s">
        <v>5328</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6960</v>
      </c>
      <c r="H4019" s="2" t="s">
        <v>5329</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6960</v>
      </c>
      <c r="H4020" s="2" t="s">
        <v>5330</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6960</v>
      </c>
      <c r="H4021" s="2" t="s">
        <v>5331</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6960</v>
      </c>
      <c r="H4022" s="2" t="s">
        <v>5332</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6960</v>
      </c>
      <c r="H4023" s="2" t="s">
        <v>5333</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6960</v>
      </c>
      <c r="H4024" s="2" t="s">
        <v>5334</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6960</v>
      </c>
      <c r="H4025" s="2" t="s">
        <v>5335</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6960</v>
      </c>
      <c r="H4026" s="2" t="s">
        <v>5336</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6960</v>
      </c>
      <c r="H4027" s="2" t="s">
        <v>5337</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6960</v>
      </c>
      <c r="H4028" s="2" t="s">
        <v>5338</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6960</v>
      </c>
      <c r="H4029" s="2" t="s">
        <v>5339</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6960</v>
      </c>
      <c r="H4030" s="2" t="s">
        <v>5340</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6960</v>
      </c>
      <c r="H4031" s="2" t="s">
        <v>5341</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6960</v>
      </c>
      <c r="H4043" s="2" t="s">
        <v>5342</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6960</v>
      </c>
      <c r="H4044" s="2" t="s">
        <v>5343</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945990</v>
      </c>
      <c r="C4057" s="3">
        <f t="shared" si="109"/>
        <v>-941938</v>
      </c>
      <c r="E4057" s="2" t="b">
        <f t="shared" ca="1" si="108"/>
        <v>1</v>
      </c>
      <c r="F4057" s="2" cm="1">
        <f t="array" aca="1" ref="F4057" ca="1">IF(G4057&lt;&gt;"",INDIRECT("'"&amp;G4057&amp;"'!"&amp;H4057),"")</f>
        <v>945990</v>
      </c>
      <c r="G4057" s="1582" t="s">
        <v>6958</v>
      </c>
      <c r="H4057" s="2" t="s">
        <v>4420</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6958</v>
      </c>
      <c r="H4058" s="2" t="s">
        <v>4433</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6958</v>
      </c>
      <c r="H4059" s="2" t="s">
        <v>4444</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6958</v>
      </c>
      <c r="H4060" s="2" t="s">
        <v>4455</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6958</v>
      </c>
      <c r="H4061" s="2" t="s">
        <v>4466</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6958</v>
      </c>
      <c r="H4062" s="2" t="s">
        <v>4476</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6958</v>
      </c>
      <c r="H4065" s="2" t="s">
        <v>4494</v>
      </c>
    </row>
    <row r="4066" spans="1:8" x14ac:dyDescent="0.2">
      <c r="A4066">
        <v>4061</v>
      </c>
      <c r="B4066" s="7">
        <f>'BudgetSum 2-4'!C11</f>
        <v>6432490</v>
      </c>
      <c r="C4066" s="3">
        <f t="shared" si="109"/>
        <v>-6428429</v>
      </c>
      <c r="E4066" s="2" t="b">
        <f t="shared" ca="1" si="108"/>
        <v>1</v>
      </c>
      <c r="F4066" s="2" cm="1">
        <f t="array" aca="1" ref="F4066" ca="1">IF(G4066&lt;&gt;"",INDIRECT("'"&amp;G4066&amp;"'!"&amp;H4066),"")</f>
        <v>6432490</v>
      </c>
      <c r="G4066" s="1582" t="s">
        <v>6958</v>
      </c>
      <c r="H4066" s="2" t="s">
        <v>4421</v>
      </c>
    </row>
    <row r="4067" spans="1:8" x14ac:dyDescent="0.2">
      <c r="A4067">
        <v>4062</v>
      </c>
      <c r="B4067" s="7">
        <f>'BudgetSum 2-4'!D11</f>
        <v>650781</v>
      </c>
      <c r="C4067" s="3">
        <f t="shared" si="109"/>
        <v>-646719</v>
      </c>
      <c r="E4067" s="2" t="b">
        <f t="shared" ca="1" si="108"/>
        <v>1</v>
      </c>
      <c r="F4067" s="2" cm="1">
        <f t="array" aca="1" ref="F4067" ca="1">IF(G4067&lt;&gt;"",INDIRECT("'"&amp;G4067&amp;"'!"&amp;H4067),"")</f>
        <v>650781</v>
      </c>
      <c r="G4067" s="1582" t="s">
        <v>6958</v>
      </c>
      <c r="H4067" s="2" t="s">
        <v>4434</v>
      </c>
    </row>
    <row r="4068" spans="1:8" x14ac:dyDescent="0.2">
      <c r="A4068">
        <v>4063</v>
      </c>
      <c r="B4068" s="7">
        <f>'BudgetSum 2-4'!E11</f>
        <v>0</v>
      </c>
      <c r="C4068" s="3">
        <f t="shared" si="109"/>
        <v>4063</v>
      </c>
      <c r="E4068" s="2" t="b">
        <f t="shared" ca="1" si="108"/>
        <v>1</v>
      </c>
      <c r="F4068" s="2" cm="1">
        <f t="array" aca="1" ref="F4068" ca="1">IF(G4068&lt;&gt;"",INDIRECT("'"&amp;G4068&amp;"'!"&amp;H4068),"")</f>
        <v>0</v>
      </c>
      <c r="G4068" s="1582" t="s">
        <v>6958</v>
      </c>
      <c r="H4068" s="2" t="s">
        <v>4445</v>
      </c>
    </row>
    <row r="4069" spans="1:8" x14ac:dyDescent="0.2">
      <c r="A4069">
        <v>4064</v>
      </c>
      <c r="B4069" s="7">
        <f>'BudgetSum 2-4'!F11</f>
        <v>313000</v>
      </c>
      <c r="C4069" s="3">
        <f t="shared" si="109"/>
        <v>-308936</v>
      </c>
      <c r="E4069" s="2" t="b">
        <f t="shared" ca="1" si="108"/>
        <v>1</v>
      </c>
      <c r="F4069" s="2" cm="1">
        <f t="array" aca="1" ref="F4069" ca="1">IF(G4069&lt;&gt;"",INDIRECT("'"&amp;G4069&amp;"'!"&amp;H4069),"")</f>
        <v>313000</v>
      </c>
      <c r="G4069" s="1582" t="s">
        <v>6958</v>
      </c>
      <c r="H4069" s="2" t="s">
        <v>4456</v>
      </c>
    </row>
    <row r="4070" spans="1:8" x14ac:dyDescent="0.2">
      <c r="A4070">
        <v>4065</v>
      </c>
      <c r="B4070" s="7">
        <f>'BudgetSum 2-4'!G11</f>
        <v>206000</v>
      </c>
      <c r="C4070" s="3">
        <f t="shared" si="109"/>
        <v>-201935</v>
      </c>
      <c r="E4070" s="2" t="b">
        <f t="shared" ca="1" si="108"/>
        <v>1</v>
      </c>
      <c r="F4070" s="2" cm="1">
        <f t="array" aca="1" ref="F4070" ca="1">IF(G4070&lt;&gt;"",INDIRECT("'"&amp;G4070&amp;"'!"&amp;H4070),"")</f>
        <v>206000</v>
      </c>
      <c r="G4070" s="1582" t="s">
        <v>6958</v>
      </c>
      <c r="H4070" s="2" t="s">
        <v>4467</v>
      </c>
    </row>
    <row r="4071" spans="1:8" x14ac:dyDescent="0.2">
      <c r="A4071">
        <v>4066</v>
      </c>
      <c r="B4071" s="7">
        <f>'BudgetSum 2-4'!H11</f>
        <v>0</v>
      </c>
      <c r="C4071" s="3">
        <f t="shared" si="109"/>
        <v>4066</v>
      </c>
      <c r="E4071" s="2" t="b">
        <f t="shared" ca="1" si="108"/>
        <v>1</v>
      </c>
      <c r="F4071" s="2" cm="1">
        <f t="array" aca="1" ref="F4071" ca="1">IF(G4071&lt;&gt;"",INDIRECT("'"&amp;G4071&amp;"'!"&amp;H4071),"")</f>
        <v>0</v>
      </c>
      <c r="G4071" s="1582" t="s">
        <v>6958</v>
      </c>
      <c r="H4071" s="2" t="s">
        <v>4477</v>
      </c>
    </row>
    <row r="4072" spans="1:8" x14ac:dyDescent="0.2">
      <c r="A4072">
        <v>4067</v>
      </c>
      <c r="B4072" s="7">
        <f>'BudgetSum 2-4'!I11</f>
        <v>41000</v>
      </c>
      <c r="C4072" s="3">
        <f t="shared" si="109"/>
        <v>-36933</v>
      </c>
      <c r="E4072" s="2" t="b">
        <f t="shared" ca="1" si="108"/>
        <v>1</v>
      </c>
      <c r="F4072" s="2" cm="1">
        <f t="array" aca="1" ref="F4072" ca="1">IF(G4072&lt;&gt;"",INDIRECT("'"&amp;G4072&amp;"'!"&amp;H4072),"")</f>
        <v>41000</v>
      </c>
      <c r="G4072" s="1582" t="s">
        <v>6958</v>
      </c>
      <c r="H4072" s="2" t="s">
        <v>4486</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0</v>
      </c>
      <c r="C4074" s="3">
        <f t="shared" si="109"/>
        <v>4069</v>
      </c>
      <c r="E4074" s="2" t="b">
        <f t="shared" ca="1" si="108"/>
        <v>1</v>
      </c>
      <c r="F4074" s="2" cm="1">
        <f t="array" aca="1" ref="F4074" ca="1">IF(G4074&lt;&gt;"",INDIRECT("'"&amp;G4074&amp;"'!"&amp;H4074),"")</f>
        <v>0</v>
      </c>
      <c r="G4074" s="1582" t="s">
        <v>6958</v>
      </c>
      <c r="H4074" s="2" t="s">
        <v>4495</v>
      </c>
    </row>
    <row r="4075" spans="1:8" x14ac:dyDescent="0.2">
      <c r="A4075">
        <v>4070</v>
      </c>
      <c r="B4075" s="7">
        <f>'BudgetSum 2-4'!C20</f>
        <v>945990</v>
      </c>
      <c r="C4075" s="3">
        <f t="shared" si="109"/>
        <v>-941920</v>
      </c>
      <c r="E4075" s="2" t="b">
        <f t="shared" ca="1" si="108"/>
        <v>1</v>
      </c>
      <c r="F4075" s="2" cm="1">
        <f t="array" aca="1" ref="F4075" ca="1">IF(G4075&lt;&gt;"",INDIRECT("'"&amp;G4075&amp;"'!"&amp;H4075),"")</f>
        <v>945990</v>
      </c>
      <c r="G4075" s="1582" t="s">
        <v>6958</v>
      </c>
      <c r="H4075" s="2" t="s">
        <v>4429</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6958</v>
      </c>
      <c r="H4076" s="2" t="s">
        <v>4441</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6958</v>
      </c>
      <c r="H4077" s="2" t="s">
        <v>4463</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6958</v>
      </c>
      <c r="H4078" s="2" t="s">
        <v>4481</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6958</v>
      </c>
      <c r="H4079" s="2" t="s">
        <v>4501</v>
      </c>
    </row>
    <row r="4080" spans="1:8" x14ac:dyDescent="0.2">
      <c r="A4080">
        <v>4075</v>
      </c>
      <c r="B4080" s="7">
        <f>'BudgetSum 2-4'!C21</f>
        <v>6432490</v>
      </c>
      <c r="C4080" s="3">
        <f t="shared" si="109"/>
        <v>-6428415</v>
      </c>
      <c r="E4080" s="2" t="b">
        <f t="shared" ca="1" si="108"/>
        <v>1</v>
      </c>
      <c r="F4080" s="2" cm="1">
        <f t="array" aca="1" ref="F4080" ca="1">IF(G4080&lt;&gt;"",INDIRECT("'"&amp;G4080&amp;"'!"&amp;H4080),"")</f>
        <v>6432490</v>
      </c>
      <c r="G4080" s="1582" t="s">
        <v>6958</v>
      </c>
      <c r="H4080" s="2" t="s">
        <v>4430</v>
      </c>
    </row>
    <row r="4081" spans="1:11" x14ac:dyDescent="0.2">
      <c r="A4081">
        <v>4076</v>
      </c>
      <c r="B4081" s="7">
        <f>'BudgetSum 2-4'!D21</f>
        <v>650781</v>
      </c>
      <c r="C4081" s="3">
        <f t="shared" si="109"/>
        <v>-646705</v>
      </c>
      <c r="E4081" s="2" t="b">
        <f t="shared" ca="1" si="108"/>
        <v>1</v>
      </c>
      <c r="F4081" s="2" cm="1">
        <f t="array" aca="1" ref="F4081" ca="1">IF(G4081&lt;&gt;"",INDIRECT("'"&amp;G4081&amp;"'!"&amp;H4081),"")</f>
        <v>650781</v>
      </c>
      <c r="G4081" s="1582" t="s">
        <v>6958</v>
      </c>
      <c r="H4081" s="2" t="s">
        <v>4442</v>
      </c>
    </row>
    <row r="4082" spans="1:11" x14ac:dyDescent="0.2">
      <c r="A4082">
        <v>4077</v>
      </c>
      <c r="B4082" s="7">
        <f>'BudgetSum 2-4'!E21</f>
        <v>0</v>
      </c>
      <c r="C4082" s="3">
        <f t="shared" si="109"/>
        <v>4077</v>
      </c>
      <c r="E4082" s="2" t="b">
        <f t="shared" ca="1" si="108"/>
        <v>1</v>
      </c>
      <c r="F4082" s="2" cm="1">
        <f t="array" aca="1" ref="F4082" ca="1">IF(G4082&lt;&gt;"",INDIRECT("'"&amp;G4082&amp;"'!"&amp;H4082),"")</f>
        <v>0</v>
      </c>
      <c r="G4082" s="1582" t="s">
        <v>6958</v>
      </c>
      <c r="H4082" s="2" t="s">
        <v>4452</v>
      </c>
    </row>
    <row r="4083" spans="1:11" x14ac:dyDescent="0.2">
      <c r="A4083">
        <v>4078</v>
      </c>
      <c r="B4083" s="7">
        <f>'BudgetSum 2-4'!F21</f>
        <v>354000</v>
      </c>
      <c r="C4083" s="3">
        <f t="shared" si="109"/>
        <v>-349922</v>
      </c>
      <c r="E4083" s="2" t="b">
        <f t="shared" ca="1" si="108"/>
        <v>1</v>
      </c>
      <c r="F4083" s="2" cm="1">
        <f t="array" aca="1" ref="F4083" ca="1">IF(G4083&lt;&gt;"",INDIRECT("'"&amp;G4083&amp;"'!"&amp;H4083),"")</f>
        <v>354000</v>
      </c>
      <c r="G4083" s="1582" t="s">
        <v>6958</v>
      </c>
      <c r="H4083" s="2" t="s">
        <v>4464</v>
      </c>
    </row>
    <row r="4084" spans="1:11" x14ac:dyDescent="0.2">
      <c r="A4084">
        <v>4079</v>
      </c>
      <c r="B4084" s="7">
        <f>'BudgetSum 2-4'!G21</f>
        <v>206000</v>
      </c>
      <c r="C4084" s="3">
        <f t="shared" si="109"/>
        <v>-201921</v>
      </c>
      <c r="E4084" s="2" t="b">
        <f t="shared" ca="1" si="108"/>
        <v>1</v>
      </c>
      <c r="F4084" s="2" cm="1">
        <f t="array" aca="1" ref="F4084" ca="1">IF(G4084&lt;&gt;"",INDIRECT("'"&amp;G4084&amp;"'!"&amp;H4084),"")</f>
        <v>206000</v>
      </c>
      <c r="G4084" s="1582" t="s">
        <v>6958</v>
      </c>
      <c r="H4084" s="2" t="s">
        <v>4474</v>
      </c>
    </row>
    <row r="4085" spans="1:11" x14ac:dyDescent="0.2">
      <c r="A4085">
        <v>4080</v>
      </c>
      <c r="B4085" s="7">
        <f>'BudgetSum 2-4'!H21</f>
        <v>0</v>
      </c>
      <c r="C4085" s="3">
        <f t="shared" si="109"/>
        <v>4080</v>
      </c>
      <c r="E4085" s="2" t="b">
        <f t="shared" ca="1" si="108"/>
        <v>1</v>
      </c>
      <c r="F4085" s="2" cm="1">
        <f t="array" aca="1" ref="F4085" ca="1">IF(G4085&lt;&gt;"",INDIRECT("'"&amp;G4085&amp;"'!"&amp;H4085),"")</f>
        <v>0</v>
      </c>
      <c r="G4085" s="1582" t="s">
        <v>6958</v>
      </c>
      <c r="H4085" s="2" t="s">
        <v>4482</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0</v>
      </c>
      <c r="C4088" s="3">
        <f t="shared" si="109"/>
        <v>4083</v>
      </c>
      <c r="E4088" s="2" t="b">
        <f t="shared" ca="1" si="108"/>
        <v>1</v>
      </c>
      <c r="F4088" s="2" cm="1">
        <f t="array" aca="1" ref="F4088" ca="1">IF(G4088&lt;&gt;"",INDIRECT("'"&amp;G4088&amp;"'!"&amp;H4088),"")</f>
        <v>0</v>
      </c>
      <c r="G4088" s="1582" t="s">
        <v>6958</v>
      </c>
      <c r="H4088" s="2" t="s">
        <v>4502</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6960</v>
      </c>
      <c r="H4100" s="2" t="s">
        <v>5344</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6960</v>
      </c>
      <c r="H4101" s="2" t="s">
        <v>5345</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6960</v>
      </c>
      <c r="H4109" s="2" t="s">
        <v>5346</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6960</v>
      </c>
      <c r="H4110" s="2" t="s">
        <v>5347</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6958</v>
      </c>
      <c r="H4119" s="2" t="s">
        <v>4451</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6958</v>
      </c>
      <c r="H4120" s="2" t="s">
        <v>4473</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6961</v>
      </c>
      <c r="H4123" s="2" t="s">
        <v>5348</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6961</v>
      </c>
      <c r="H4124" s="2" t="s">
        <v>5349</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6961</v>
      </c>
      <c r="H4125" s="2" t="s">
        <v>5350</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6961</v>
      </c>
      <c r="H4133" s="2" t="s">
        <v>5351</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6961</v>
      </c>
      <c r="H4134" s="2" t="s">
        <v>4956</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6961</v>
      </c>
      <c r="H4135" s="2" t="s">
        <v>5352</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6961</v>
      </c>
      <c r="H4136" s="2" t="s">
        <v>5353</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6960</v>
      </c>
      <c r="H4143" s="2" t="s">
        <v>5354</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6960</v>
      </c>
      <c r="H4144" s="2" t="s">
        <v>5355</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6960</v>
      </c>
      <c r="H4145" s="2" t="s">
        <v>5356</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6960</v>
      </c>
      <c r="H4146" s="2" t="s">
        <v>5357</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6960</v>
      </c>
      <c r="H4147" s="2" t="s">
        <v>5358</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0</v>
      </c>
      <c r="C4154" s="3">
        <f t="shared" si="111"/>
        <v>4149</v>
      </c>
      <c r="E4154" s="2" t="b">
        <f t="shared" ca="1" si="110"/>
        <v>1</v>
      </c>
      <c r="F4154" s="2" cm="1">
        <f t="array" aca="1" ref="F4154" ca="1">IF(G4154&lt;&gt;"",INDIRECT("'"&amp;G4154&amp;"'!"&amp;H4154),"")</f>
        <v>0</v>
      </c>
      <c r="G4154" s="1582" t="s">
        <v>6960</v>
      </c>
      <c r="H4154" s="2" t="s">
        <v>5359</v>
      </c>
    </row>
    <row r="4155" spans="1:8" x14ac:dyDescent="0.2">
      <c r="A4155">
        <v>4150</v>
      </c>
      <c r="B4155" s="7">
        <f>'EstExp 12-20'!K210</f>
        <v>0</v>
      </c>
      <c r="C4155" s="3">
        <f t="shared" si="111"/>
        <v>4150</v>
      </c>
      <c r="E4155" s="2" t="b">
        <f t="shared" ca="1" si="110"/>
        <v>1</v>
      </c>
      <c r="F4155" s="2" cm="1">
        <f t="array" aca="1" ref="F4155" ca="1">IF(G4155&lt;&gt;"",INDIRECT("'"&amp;G4155&amp;"'!"&amp;H4155),"")</f>
        <v>0</v>
      </c>
      <c r="G4155" s="1582" t="s">
        <v>6960</v>
      </c>
      <c r="H4155" s="2" t="s">
        <v>5360</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6961</v>
      </c>
      <c r="H4159" s="2" t="s">
        <v>5361</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6961</v>
      </c>
      <c r="H4160" s="2" t="s">
        <v>5362</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6958</v>
      </c>
      <c r="H4161" s="2" t="s">
        <v>4610</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6961</v>
      </c>
      <c r="H4171" s="2" t="s">
        <v>5363</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6961</v>
      </c>
      <c r="H4172" s="2" t="s">
        <v>5364</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6961</v>
      </c>
      <c r="H4174" s="2" t="s">
        <v>5365</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6961</v>
      </c>
      <c r="H4253" s="2" t="s">
        <v>4810</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6961</v>
      </c>
      <c r="H4254" s="2" t="s">
        <v>4817</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6961</v>
      </c>
      <c r="H4255" s="2" t="s">
        <v>4831</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6961</v>
      </c>
      <c r="H4256" s="2" t="s">
        <v>5366</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6961</v>
      </c>
      <c r="H4257" s="2" t="s">
        <v>5367</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6961</v>
      </c>
      <c r="H4258" s="2" t="s">
        <v>5368</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6961</v>
      </c>
      <c r="H4259" s="2" t="s">
        <v>5369</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6961</v>
      </c>
      <c r="H4260" s="2" t="s">
        <v>5370</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6961</v>
      </c>
      <c r="H4261" s="2" t="s">
        <v>5371</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6961</v>
      </c>
      <c r="H4262" s="2" t="s">
        <v>5372</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6961</v>
      </c>
      <c r="H4265" s="2" t="s">
        <v>5373</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6961</v>
      </c>
      <c r="H4266" s="2" t="s">
        <v>5374</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6961</v>
      </c>
      <c r="H4271" s="2" t="s">
        <v>5375</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6961</v>
      </c>
      <c r="H4272" s="2" t="s">
        <v>4871</v>
      </c>
    </row>
    <row r="4273" spans="1:8" x14ac:dyDescent="0.2">
      <c r="A4273">
        <v>4268</v>
      </c>
      <c r="B4273" s="7">
        <f>'EstRev 6-11'!D169</f>
        <v>0</v>
      </c>
      <c r="C4273" s="3">
        <f t="shared" si="115"/>
        <v>4268</v>
      </c>
      <c r="E4273" s="2" t="b">
        <f t="shared" ca="1" si="114"/>
        <v>1</v>
      </c>
      <c r="F4273" s="2" cm="1">
        <f t="array" aca="1" ref="F4273" ca="1">IF(G4273&lt;&gt;"",INDIRECT("'"&amp;G4273&amp;"'!"&amp;H4273),"")</f>
        <v>0</v>
      </c>
      <c r="G4273" s="1582" t="s">
        <v>6961</v>
      </c>
      <c r="H4273" s="2" t="s">
        <v>5376</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6961</v>
      </c>
      <c r="H4274" s="2" t="s">
        <v>5130</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6961</v>
      </c>
      <c r="H4275" s="2" t="s">
        <v>5377</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6961</v>
      </c>
      <c r="H4276" s="2" t="s">
        <v>5378</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6961</v>
      </c>
      <c r="H4277" s="2" t="s">
        <v>5379</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6961</v>
      </c>
      <c r="H4278" s="2" t="s">
        <v>5380</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6961</v>
      </c>
      <c r="H4279" s="2" t="s">
        <v>5381</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6961</v>
      </c>
      <c r="H4280" s="2" t="s">
        <v>5382</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6961</v>
      </c>
      <c r="H4281" s="2" t="s">
        <v>5383</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6961</v>
      </c>
      <c r="H4282" s="2" t="s">
        <v>5384</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6961</v>
      </c>
      <c r="H4283" s="2" t="s">
        <v>5385</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6961</v>
      </c>
      <c r="H4284" s="2" t="s">
        <v>5386</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6961</v>
      </c>
      <c r="H4285" s="2" t="s">
        <v>5238</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6961</v>
      </c>
      <c r="H4286" s="2" t="s">
        <v>5387</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6961</v>
      </c>
      <c r="H4287" s="2" t="s">
        <v>5388</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6961</v>
      </c>
      <c r="H4288" s="2" t="s">
        <v>5389</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6961</v>
      </c>
      <c r="H4289" s="2" t="s">
        <v>5195</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6961</v>
      </c>
      <c r="H4290" s="2" t="s">
        <v>5390</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6961</v>
      </c>
      <c r="H4295" s="2" t="s">
        <v>5391</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6961</v>
      </c>
      <c r="H4296" s="2" t="s">
        <v>5392</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6961</v>
      </c>
      <c r="H4297" s="2" t="s">
        <v>5393</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6961</v>
      </c>
      <c r="H4298" s="2" t="s">
        <v>5394</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6961</v>
      </c>
      <c r="H4299" s="2" t="s">
        <v>5395</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6961</v>
      </c>
      <c r="H4300" s="2" t="s">
        <v>5396</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6961</v>
      </c>
      <c r="H4301" s="2" t="s">
        <v>5397</v>
      </c>
    </row>
    <row r="4302" spans="1:11" x14ac:dyDescent="0.2">
      <c r="A4302">
        <v>4297</v>
      </c>
      <c r="B4302" s="7">
        <f>'EstRev 6-11'!C267</f>
        <v>5000</v>
      </c>
      <c r="C4302" s="3">
        <f t="shared" si="117"/>
        <v>-703</v>
      </c>
      <c r="E4302" s="2" t="b">
        <f t="shared" ca="1" si="116"/>
        <v>1</v>
      </c>
      <c r="F4302" s="2" cm="1">
        <f t="array" aca="1" ref="F4302" ca="1">IF(G4302&lt;&gt;"",INDIRECT("'"&amp;G4302&amp;"'!"&amp;H4302),"")</f>
        <v>5000</v>
      </c>
      <c r="G4302" s="1582" t="s">
        <v>6961</v>
      </c>
      <c r="H4302" s="2" t="s">
        <v>5398</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6961</v>
      </c>
      <c r="H4303" s="2" t="s">
        <v>4959</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6961</v>
      </c>
      <c r="H4304" s="2" t="s">
        <v>5399</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6961</v>
      </c>
      <c r="H4305" s="2" t="s">
        <v>5400</v>
      </c>
    </row>
    <row r="4306" spans="1:8" x14ac:dyDescent="0.2">
      <c r="A4306">
        <v>4301</v>
      </c>
      <c r="B4306" s="7">
        <f>'EstRev 6-11'!C268</f>
        <v>0</v>
      </c>
      <c r="C4306" s="3">
        <f t="shared" si="117"/>
        <v>4301</v>
      </c>
      <c r="E4306" s="2" t="b">
        <f t="shared" ca="1" si="116"/>
        <v>1</v>
      </c>
      <c r="F4306" s="2" cm="1">
        <f t="array" aca="1" ref="F4306" ca="1">IF(G4306&lt;&gt;"",INDIRECT("'"&amp;G4306&amp;"'!"&amp;H4306),"")</f>
        <v>0</v>
      </c>
      <c r="G4306" s="1582" t="s">
        <v>6961</v>
      </c>
      <c r="H4306" s="2" t="s">
        <v>5401</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6961</v>
      </c>
      <c r="H4307" s="2" t="s">
        <v>5402</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6961</v>
      </c>
      <c r="H4308" s="2" t="s">
        <v>4867</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6961</v>
      </c>
      <c r="H4309" s="2" t="s">
        <v>4876</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6961</v>
      </c>
      <c r="H4310" s="2" t="s">
        <v>5403</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6961</v>
      </c>
      <c r="H4312" s="2" t="s">
        <v>4885</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6961</v>
      </c>
      <c r="H4313" s="2" t="s">
        <v>4868</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6961</v>
      </c>
      <c r="H4314" s="2" t="s">
        <v>5404</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6961</v>
      </c>
      <c r="H4316" s="2" t="s">
        <v>5405</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6961</v>
      </c>
      <c r="H4317" s="2" t="s">
        <v>5406</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6961</v>
      </c>
      <c r="H4319" s="2" t="s">
        <v>4890</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6961</v>
      </c>
      <c r="H4320" s="2" t="s">
        <v>4894</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6961</v>
      </c>
      <c r="H4321" s="2" t="s">
        <v>4903</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6961</v>
      </c>
      <c r="H4322" s="2" t="s">
        <v>4907</v>
      </c>
    </row>
    <row r="4323" spans="1:8" x14ac:dyDescent="0.2">
      <c r="A4323">
        <v>4318</v>
      </c>
      <c r="B4323" s="7">
        <f>'EstRev 6-11'!C188</f>
        <v>0</v>
      </c>
      <c r="C4323" s="3">
        <f t="shared" si="117"/>
        <v>4318</v>
      </c>
      <c r="E4323" s="2" t="b">
        <f t="shared" ca="1" si="116"/>
        <v>1</v>
      </c>
      <c r="F4323" s="2" cm="1">
        <f t="array" aca="1" ref="F4323" ca="1">IF(G4323&lt;&gt;"",INDIRECT("'"&amp;G4323&amp;"'!"&amp;H4323),"")</f>
        <v>0</v>
      </c>
      <c r="G4323" s="1582" t="s">
        <v>6961</v>
      </c>
      <c r="H4323" s="2" t="s">
        <v>4891</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6961</v>
      </c>
      <c r="H4324" s="2" t="s">
        <v>4895</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6961</v>
      </c>
      <c r="H4325" s="2" t="s">
        <v>4904</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6961</v>
      </c>
      <c r="H4326" s="2" t="s">
        <v>4908</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6961</v>
      </c>
      <c r="H4335" s="2" t="s">
        <v>5132</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6961</v>
      </c>
      <c r="H4336" s="2" t="s">
        <v>5133</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6961</v>
      </c>
      <c r="H4337" s="2" t="s">
        <v>5137</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6961</v>
      </c>
      <c r="H4338" s="2" t="s">
        <v>5138</v>
      </c>
    </row>
    <row r="4339" spans="1:8" x14ac:dyDescent="0.2">
      <c r="A4339">
        <v>4334</v>
      </c>
      <c r="B4339" s="7">
        <f>'EstRev 6-11'!C190</f>
        <v>0</v>
      </c>
      <c r="C4339" s="3">
        <f t="shared" si="117"/>
        <v>4334</v>
      </c>
      <c r="E4339" s="2" t="b">
        <f t="shared" ca="1" si="116"/>
        <v>1</v>
      </c>
      <c r="F4339" s="2" cm="1">
        <f t="array" aca="1" ref="F4339" ca="1">IF(G4339&lt;&gt;"",INDIRECT("'"&amp;G4339&amp;"'!"&amp;H4339),"")</f>
        <v>0</v>
      </c>
      <c r="G4339" s="1582" t="s">
        <v>6961</v>
      </c>
      <c r="H4339" s="2" t="s">
        <v>5407</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6961</v>
      </c>
      <c r="H4340" s="2" t="s">
        <v>5408</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6961</v>
      </c>
      <c r="H4341" s="2" t="s">
        <v>5409</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6961</v>
      </c>
      <c r="H4342" s="2" t="s">
        <v>5410</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6961</v>
      </c>
      <c r="H4351" s="2" t="s">
        <v>5411</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6961</v>
      </c>
      <c r="H4352" s="2" t="s">
        <v>5412</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6961</v>
      </c>
      <c r="H4353" s="2" t="s">
        <v>5413</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6961</v>
      </c>
      <c r="H4354" s="2" t="s">
        <v>5414</v>
      </c>
    </row>
    <row r="4355" spans="1:8" x14ac:dyDescent="0.2">
      <c r="A4355">
        <v>4350</v>
      </c>
      <c r="B4355" s="7">
        <f>'EstRev 6-11'!C212</f>
        <v>0</v>
      </c>
      <c r="C4355" s="3">
        <f t="shared" si="117"/>
        <v>4350</v>
      </c>
      <c r="E4355" s="2" t="b">
        <f t="shared" ca="1" si="118"/>
        <v>1</v>
      </c>
      <c r="F4355" s="2" cm="1">
        <f t="array" aca="1" ref="F4355" ca="1">IF(G4355&lt;&gt;"",INDIRECT("'"&amp;G4355&amp;"'!"&amp;H4355),"")</f>
        <v>0</v>
      </c>
      <c r="G4355" s="1582" t="s">
        <v>6961</v>
      </c>
      <c r="H4355" s="2" t="s">
        <v>5415</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6961</v>
      </c>
      <c r="H4356" s="2" t="s">
        <v>5416</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6961</v>
      </c>
      <c r="H4357" s="2" t="s">
        <v>5417</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6961</v>
      </c>
      <c r="H4358" s="2" t="s">
        <v>5418</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6961</v>
      </c>
      <c r="H4359" s="2" t="s">
        <v>5419</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6961</v>
      </c>
      <c r="H4360" s="2" t="s">
        <v>5420</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6961</v>
      </c>
      <c r="H4361" s="2" t="s">
        <v>5421</v>
      </c>
    </row>
    <row r="4362" spans="1:8" x14ac:dyDescent="0.2">
      <c r="A4362">
        <v>4357</v>
      </c>
      <c r="B4362" s="7">
        <f>'EstRev 6-11'!C262</f>
        <v>12700</v>
      </c>
      <c r="C4362" s="3">
        <f t="shared" si="119"/>
        <v>-8343</v>
      </c>
      <c r="E4362" s="2" t="b">
        <f t="shared" ca="1" si="118"/>
        <v>1</v>
      </c>
      <c r="F4362" s="2" cm="1">
        <f t="array" aca="1" ref="F4362" ca="1">IF(G4362&lt;&gt;"",INDIRECT("'"&amp;G4362&amp;"'!"&amp;H4362),"")</f>
        <v>12700</v>
      </c>
      <c r="G4362" s="1582" t="s">
        <v>6961</v>
      </c>
      <c r="H4362" s="2" t="s">
        <v>5422</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6961</v>
      </c>
      <c r="H4363" s="2" t="s">
        <v>4954</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6961</v>
      </c>
      <c r="H4364" s="2" t="s">
        <v>5423</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6961</v>
      </c>
      <c r="H4365" s="2" t="s">
        <v>5424</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6961</v>
      </c>
      <c r="H4378" s="2" t="s">
        <v>5425</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6961</v>
      </c>
      <c r="H4379" s="2" t="s">
        <v>5426</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6961</v>
      </c>
      <c r="H4385" s="2" t="s">
        <v>5427</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6961</v>
      </c>
      <c r="H4386" s="2" t="s">
        <v>5008</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6958</v>
      </c>
      <c r="H4387" s="2" t="s">
        <v>5236</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6958</v>
      </c>
      <c r="H4388" s="2" t="s">
        <v>5428</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6961</v>
      </c>
      <c r="H4390" s="2" t="s">
        <v>5429</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6961</v>
      </c>
      <c r="H4391" s="2" t="s">
        <v>5430</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6961</v>
      </c>
      <c r="H4392" s="2" t="s">
        <v>5431</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0</v>
      </c>
      <c r="C4705" s="3">
        <f t="shared" ref="C4705:C4743" si="125">A4705-B4705</f>
        <v>4700</v>
      </c>
      <c r="E4705" s="2" t="b">
        <f t="shared" ca="1" si="124"/>
        <v>1</v>
      </c>
      <c r="F4705" s="2" cm="1">
        <f t="array" aca="1" ref="F4705" ca="1">IF(G4705&lt;&gt;"",INDIRECT("'"&amp;G4705&amp;"'!"&amp;H4705),"")</f>
        <v>0</v>
      </c>
      <c r="G4705" s="1582" t="s">
        <v>6961</v>
      </c>
      <c r="H4705" s="2" t="s">
        <v>5432</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6961</v>
      </c>
      <c r="H4715" s="2" t="s">
        <v>5433</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800</v>
      </c>
      <c r="C4736" s="3">
        <f t="shared" si="125"/>
        <v>3931</v>
      </c>
      <c r="E4736" s="2" t="b">
        <f t="shared" ca="1" si="124"/>
        <v>1</v>
      </c>
      <c r="F4736" s="2" cm="1">
        <f t="array" aca="1" ref="F4736" ca="1">IF(G4736&lt;&gt;"",INDIRECT("'"&amp;G4736&amp;"'!"&amp;H4736),"")</f>
        <v>800</v>
      </c>
      <c r="G4736" s="1582" t="s">
        <v>6961</v>
      </c>
      <c r="H4736" s="2" t="s">
        <v>5434</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6961</v>
      </c>
      <c r="H4737" s="2" t="s">
        <v>5435</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6961</v>
      </c>
      <c r="H4738" s="2" t="s">
        <v>5436</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6961</v>
      </c>
      <c r="H4739" s="2" t="s">
        <v>5437</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6961</v>
      </c>
      <c r="H4740" s="2" t="s">
        <v>5438</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6961</v>
      </c>
      <c r="H4741" s="2" t="s">
        <v>5129</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6961</v>
      </c>
      <c r="H4743" s="2" t="s">
        <v>5131</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6961</v>
      </c>
      <c r="H4745" s="2" t="s">
        <v>5439</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6961</v>
      </c>
      <c r="H4746" s="2" t="s">
        <v>5440</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6961</v>
      </c>
      <c r="H4748" s="2" t="s">
        <v>5441</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6961</v>
      </c>
      <c r="H4749" s="2" t="s">
        <v>5442</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6961</v>
      </c>
      <c r="H4750" s="2" t="s">
        <v>5443</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6961</v>
      </c>
      <c r="H4752" s="2" t="s">
        <v>5444</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6961</v>
      </c>
      <c r="H4754" s="2" t="s">
        <v>5445</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6961</v>
      </c>
      <c r="H4755" s="2" t="s">
        <v>5446</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6961</v>
      </c>
      <c r="H4757" s="2" t="s">
        <v>5447</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6961</v>
      </c>
      <c r="H4758" s="2" t="s">
        <v>5448</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6961</v>
      </c>
      <c r="H4760" s="2" t="s">
        <v>5449</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85000</v>
      </c>
      <c r="C4796" s="3">
        <f t="shared" si="127"/>
        <v>-80209</v>
      </c>
      <c r="E4796" s="2" t="b">
        <f t="shared" ca="1" si="126"/>
        <v>1</v>
      </c>
      <c r="F4796" s="2" cm="1">
        <f t="array" aca="1" ref="F4796" ca="1">IF(G4796&lt;&gt;"",INDIRECT("'"&amp;G4796&amp;"'!"&amp;H4796),"")</f>
        <v>85000</v>
      </c>
      <c r="G4796" s="1582" t="s">
        <v>6961</v>
      </c>
      <c r="H4796" s="2" t="s">
        <v>5450</v>
      </c>
    </row>
    <row r="4797" spans="1:11" x14ac:dyDescent="0.2">
      <c r="A4797">
        <v>4792</v>
      </c>
      <c r="B4797" s="7">
        <f>'EstRev 6-11'!D269</f>
        <v>0</v>
      </c>
      <c r="C4797" s="3">
        <f t="shared" si="127"/>
        <v>4792</v>
      </c>
      <c r="E4797" s="2" t="b">
        <f t="shared" ca="1" si="126"/>
        <v>1</v>
      </c>
      <c r="F4797" s="2" cm="1">
        <f t="array" aca="1" ref="F4797" ca="1">IF(G4797&lt;&gt;"",INDIRECT("'"&amp;G4797&amp;"'!"&amp;H4797),"")</f>
        <v>0</v>
      </c>
      <c r="G4797" s="1582" t="s">
        <v>6961</v>
      </c>
      <c r="H4797" s="2" t="s">
        <v>4960</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6961</v>
      </c>
      <c r="H4799" s="2" t="s">
        <v>5451</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6961</v>
      </c>
      <c r="H4808" s="2" t="s">
        <v>5452</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6961</v>
      </c>
      <c r="H4809" s="2" t="s">
        <v>5453</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6961</v>
      </c>
      <c r="H4812" s="2" t="s">
        <v>5007</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6961</v>
      </c>
      <c r="H4826" s="2" t="s">
        <v>5454</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6961</v>
      </c>
      <c r="H4827" s="2" t="s">
        <v>5455</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6961</v>
      </c>
      <c r="H4828" s="2" t="s">
        <v>5456</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6961</v>
      </c>
      <c r="H4829" s="2" t="s">
        <v>5457</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6961</v>
      </c>
      <c r="H4830" s="2" t="s">
        <v>5458</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6961</v>
      </c>
      <c r="H4831" s="2" t="s">
        <v>5459</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6961</v>
      </c>
      <c r="H4833" s="2" t="s">
        <v>5460</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6961</v>
      </c>
      <c r="H4859" s="2" t="s">
        <v>5461</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6961</v>
      </c>
      <c r="H4860" s="2" t="s">
        <v>5462</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6961</v>
      </c>
      <c r="H4861" s="2" t="s">
        <v>5463</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6961</v>
      </c>
      <c r="H4862" s="2" t="s">
        <v>5464</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6961</v>
      </c>
      <c r="H4863" s="2" t="s">
        <v>5465</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6961</v>
      </c>
      <c r="H4864" s="2" t="s">
        <v>5466</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6961</v>
      </c>
      <c r="H4866" s="2" t="s">
        <v>5467</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37000</v>
      </c>
      <c r="C4888" s="3">
        <f t="shared" ref="C4888:C4895" si="131">A4888-B4888</f>
        <v>-32117</v>
      </c>
      <c r="E4888" s="2" t="b">
        <f t="shared" ca="1" si="130"/>
        <v>1</v>
      </c>
      <c r="F4888" s="2" cm="1">
        <f t="array" aca="1" ref="F4888" ca="1">IF(G4888&lt;&gt;"",INDIRECT("'"&amp;G4888&amp;"'!"&amp;H4888),"")</f>
        <v>37000</v>
      </c>
      <c r="G4888" s="1582" t="s">
        <v>6961</v>
      </c>
      <c r="H4888" s="2" t="s">
        <v>5468</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6961</v>
      </c>
      <c r="H4889" s="2" t="s">
        <v>5469</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6961</v>
      </c>
      <c r="H4890" s="2" t="s">
        <v>5470</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6961</v>
      </c>
      <c r="H4891" s="2" t="s">
        <v>5471</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6961</v>
      </c>
      <c r="H4892" s="2" t="s">
        <v>4877</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6961</v>
      </c>
      <c r="H4893" s="2" t="s">
        <v>4886</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6961</v>
      </c>
      <c r="H4894" s="2" t="s">
        <v>4507</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6961</v>
      </c>
      <c r="H4895" s="2" t="s">
        <v>4508</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6961</v>
      </c>
      <c r="H4944" s="2" t="s">
        <v>4882</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6958</v>
      </c>
      <c r="H4955" s="2" t="s">
        <v>4484</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6958</v>
      </c>
      <c r="H4956" s="2" t="s">
        <v>5472</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6958</v>
      </c>
      <c r="H4957" s="2" t="s">
        <v>5473</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6958</v>
      </c>
      <c r="H4958" s="2" t="s">
        <v>5474</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6958</v>
      </c>
      <c r="H4966" s="2" t="s">
        <v>4547</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6958</v>
      </c>
      <c r="H4967" s="2" t="s">
        <v>4584</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6958</v>
      </c>
      <c r="H4968" s="2" t="s">
        <v>4659</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0</v>
      </c>
      <c r="C4970" s="3">
        <f t="shared" si="133"/>
        <v>4965</v>
      </c>
      <c r="E4970" s="2" t="b">
        <f t="shared" ca="1" si="132"/>
        <v>1</v>
      </c>
      <c r="F4970" s="2" cm="1">
        <f t="array" aca="1" ref="F4970" ca="1">IF(G4970&lt;&gt;"",INDIRECT("'"&amp;G4970&amp;"'!"&amp;H4970),"")</f>
        <v>0</v>
      </c>
      <c r="G4970" s="1582" t="s">
        <v>6961</v>
      </c>
      <c r="H4970" s="2" t="s">
        <v>5244</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6961</v>
      </c>
      <c r="H4971" s="2" t="s">
        <v>5475</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6961</v>
      </c>
      <c r="H5000" s="2" t="s">
        <v>5476</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6961</v>
      </c>
      <c r="H5001" s="2" t="s">
        <v>5477</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6961</v>
      </c>
      <c r="H5002" s="2" t="s">
        <v>5478</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6961</v>
      </c>
      <c r="H5003" s="2" t="s">
        <v>5479</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6961</v>
      </c>
      <c r="H5004" s="2" t="s">
        <v>5480</v>
      </c>
    </row>
    <row r="5005" spans="1:11" x14ac:dyDescent="0.2">
      <c r="A5005">
        <v>5000</v>
      </c>
      <c r="B5005" s="7">
        <f>'EstRev 6-11'!C5</f>
        <v>3230000</v>
      </c>
      <c r="C5005" s="3">
        <f t="shared" si="135"/>
        <v>-3225000</v>
      </c>
      <c r="E5005" s="2" t="b">
        <f t="shared" ca="1" si="134"/>
        <v>1</v>
      </c>
      <c r="F5005" s="2" cm="1">
        <f t="array" aca="1" ref="F5005" ca="1">IF(G5005&lt;&gt;"",INDIRECT("'"&amp;G5005&amp;"'!"&amp;H5005),"")</f>
        <v>3230000</v>
      </c>
      <c r="G5005" s="1582" t="s">
        <v>6961</v>
      </c>
      <c r="H5005" s="2" t="s">
        <v>4532</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45000</v>
      </c>
      <c r="C5007" s="3">
        <f t="shared" si="135"/>
        <v>-39998</v>
      </c>
      <c r="E5007" s="2" t="b">
        <f t="shared" ca="1" si="134"/>
        <v>1</v>
      </c>
      <c r="F5007" s="2" cm="1">
        <f t="array" aca="1" ref="F5007" ca="1">IF(G5007&lt;&gt;"",INDIRECT("'"&amp;G5007&amp;"'!"&amp;H5007),"")</f>
        <v>45000</v>
      </c>
      <c r="G5007" s="1582" t="s">
        <v>6961</v>
      </c>
      <c r="H5007" s="2" t="s">
        <v>4419</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6961</v>
      </c>
      <c r="H5008" s="2" t="s">
        <v>4420</v>
      </c>
    </row>
    <row r="5009" spans="1:8" x14ac:dyDescent="0.2">
      <c r="A5009">
        <v>5004</v>
      </c>
      <c r="B5009" s="7">
        <f>'EstRev 6-11'!C11</f>
        <v>31000</v>
      </c>
      <c r="C5009" s="3">
        <f t="shared" si="135"/>
        <v>-25996</v>
      </c>
      <c r="E5009" s="2" t="b">
        <f t="shared" ca="1" si="134"/>
        <v>1</v>
      </c>
      <c r="F5009" s="2" cm="1">
        <f t="array" aca="1" ref="F5009" ca="1">IF(G5009&lt;&gt;"",INDIRECT("'"&amp;G5009&amp;"'!"&amp;H5009),"")</f>
        <v>31000</v>
      </c>
      <c r="G5009" s="1582" t="s">
        <v>6961</v>
      </c>
      <c r="H5009" s="2" t="s">
        <v>4421</v>
      </c>
    </row>
    <row r="5010" spans="1:8" x14ac:dyDescent="0.2">
      <c r="A5010">
        <v>5005</v>
      </c>
      <c r="B5010" s="7">
        <f>'EstRev 6-11'!C12</f>
        <v>3306000</v>
      </c>
      <c r="C5010" s="3">
        <f t="shared" si="135"/>
        <v>-3300995</v>
      </c>
      <c r="E5010" s="2" t="b">
        <f t="shared" ca="1" si="134"/>
        <v>1</v>
      </c>
      <c r="F5010" s="2" cm="1">
        <f t="array" aca="1" ref="F5010" ca="1">IF(G5010&lt;&gt;"",INDIRECT("'"&amp;G5010&amp;"'!"&amp;H5010),"")</f>
        <v>3306000</v>
      </c>
      <c r="G5010" s="1582" t="s">
        <v>6961</v>
      </c>
      <c r="H5010" s="2" t="s">
        <v>4422</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6961</v>
      </c>
      <c r="H5011" s="2" t="s">
        <v>4533</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6961</v>
      </c>
      <c r="H5012" s="2" t="s">
        <v>4424</v>
      </c>
    </row>
    <row r="5013" spans="1:8" x14ac:dyDescent="0.2">
      <c r="A5013">
        <v>5008</v>
      </c>
      <c r="B5013" s="7">
        <f>'EstRev 6-11'!C16</f>
        <v>410000</v>
      </c>
      <c r="C5013" s="3">
        <f t="shared" si="135"/>
        <v>-404992</v>
      </c>
      <c r="E5013" s="2" t="b">
        <f t="shared" ca="1" si="134"/>
        <v>1</v>
      </c>
      <c r="F5013" s="2" cm="1">
        <f t="array" aca="1" ref="F5013" ca="1">IF(G5013&lt;&gt;"",INDIRECT("'"&amp;G5013&amp;"'!"&amp;H5013),"")</f>
        <v>410000</v>
      </c>
      <c r="G5013" s="1582" t="s">
        <v>6961</v>
      </c>
      <c r="H5013" s="2" t="s">
        <v>4425</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6961</v>
      </c>
      <c r="H5014" s="2" t="s">
        <v>4426</v>
      </c>
    </row>
    <row r="5015" spans="1:8" x14ac:dyDescent="0.2">
      <c r="A5015">
        <v>5010</v>
      </c>
      <c r="B5015" s="7">
        <f>'EstRev 6-11'!C18</f>
        <v>410000</v>
      </c>
      <c r="C5015" s="3">
        <f t="shared" si="135"/>
        <v>-404990</v>
      </c>
      <c r="E5015" s="2" t="b">
        <f t="shared" ca="1" si="134"/>
        <v>1</v>
      </c>
      <c r="F5015" s="2" cm="1">
        <f t="array" aca="1" ref="F5015" ca="1">IF(G5015&lt;&gt;"",INDIRECT("'"&amp;G5015&amp;"'!"&amp;H5015),"")</f>
        <v>410000</v>
      </c>
      <c r="G5015" s="1582" t="s">
        <v>6961</v>
      </c>
      <c r="H5015" s="2" t="s">
        <v>4411</v>
      </c>
    </row>
    <row r="5016" spans="1:8" x14ac:dyDescent="0.2">
      <c r="A5016">
        <v>5011</v>
      </c>
      <c r="B5016" s="7">
        <f>'EstRev 6-11'!C20</f>
        <v>0</v>
      </c>
      <c r="C5016" s="3">
        <f t="shared" si="135"/>
        <v>5011</v>
      </c>
      <c r="E5016" s="2" t="b">
        <f t="shared" ca="1" si="134"/>
        <v>1</v>
      </c>
      <c r="F5016" s="2" cm="1">
        <f t="array" aca="1" ref="F5016" ca="1">IF(G5016&lt;&gt;"",INDIRECT("'"&amp;G5016&amp;"'!"&amp;H5016),"")</f>
        <v>0</v>
      </c>
      <c r="G5016" s="1582" t="s">
        <v>6961</v>
      </c>
      <c r="H5016" s="2" t="s">
        <v>4429</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6961</v>
      </c>
      <c r="H5017" s="2" t="s">
        <v>4430</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6961</v>
      </c>
      <c r="H5018" s="2" t="s">
        <v>5076</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6961</v>
      </c>
      <c r="H5019" s="2" t="s">
        <v>5481</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6961</v>
      </c>
      <c r="H5020" s="2" t="s">
        <v>5482</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6961</v>
      </c>
      <c r="H5021" s="2" t="s">
        <v>4518</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6961</v>
      </c>
      <c r="H5022" s="2" t="s">
        <v>4519</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6961</v>
      </c>
      <c r="H5023" s="2" t="s">
        <v>5472</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6961</v>
      </c>
      <c r="H5024" s="2" t="s">
        <v>5103</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6961</v>
      </c>
      <c r="H5025" s="2" t="s">
        <v>5483</v>
      </c>
    </row>
    <row r="5026" spans="1:8" x14ac:dyDescent="0.2">
      <c r="A5026">
        <v>5021</v>
      </c>
      <c r="B5026" s="7">
        <f>'EstRev 6-11'!C33</f>
        <v>0</v>
      </c>
      <c r="C5026" s="3">
        <f t="shared" si="135"/>
        <v>5021</v>
      </c>
      <c r="E5026" s="2" t="b">
        <f t="shared" ca="1" si="134"/>
        <v>1</v>
      </c>
      <c r="F5026" s="2" cm="1">
        <f t="array" aca="1" ref="F5026" ca="1">IF(G5026&lt;&gt;"",INDIRECT("'"&amp;G5026&amp;"'!"&amp;H5026),"")</f>
        <v>0</v>
      </c>
      <c r="G5026" s="1582" t="s">
        <v>6961</v>
      </c>
      <c r="H5026" s="2" t="s">
        <v>5484</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6961</v>
      </c>
      <c r="H5027" s="2" t="s">
        <v>4534</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6961</v>
      </c>
      <c r="H5028" s="2" t="s">
        <v>4521</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6961</v>
      </c>
      <c r="H5029" s="2" t="s">
        <v>4522</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6961</v>
      </c>
      <c r="H5030" s="2" t="s">
        <v>4535</v>
      </c>
    </row>
    <row r="5031" spans="1:8" x14ac:dyDescent="0.2">
      <c r="A5031">
        <v>5026</v>
      </c>
      <c r="B5031" s="7">
        <f>'EstRev 6-11'!C40</f>
        <v>0</v>
      </c>
      <c r="C5031" s="3">
        <f t="shared" si="135"/>
        <v>5026</v>
      </c>
      <c r="E5031" s="2" t="b">
        <f t="shared" ca="1" si="134"/>
        <v>1</v>
      </c>
      <c r="F5031" s="2" cm="1">
        <f t="array" aca="1" ref="F5031" ca="1">IF(G5031&lt;&gt;"",INDIRECT("'"&amp;G5031&amp;"'!"&amp;H5031),"")</f>
        <v>0</v>
      </c>
      <c r="G5031" s="1582" t="s">
        <v>6961</v>
      </c>
      <c r="H5031" s="2" t="s">
        <v>4537</v>
      </c>
    </row>
    <row r="5032" spans="1:8" x14ac:dyDescent="0.2">
      <c r="A5032">
        <v>5027</v>
      </c>
      <c r="B5032" s="7">
        <f>'EstRev 6-11'!C65</f>
        <v>280000</v>
      </c>
      <c r="C5032" s="3">
        <f t="shared" si="135"/>
        <v>-274973</v>
      </c>
      <c r="E5032" s="2" t="b">
        <f t="shared" ca="1" si="134"/>
        <v>1</v>
      </c>
      <c r="F5032" s="2" cm="1">
        <f t="array" aca="1" ref="F5032" ca="1">IF(G5032&lt;&gt;"",INDIRECT("'"&amp;G5032&amp;"'!"&amp;H5032),"")</f>
        <v>280000</v>
      </c>
      <c r="G5032" s="1582" t="s">
        <v>6961</v>
      </c>
      <c r="H5032" s="2" t="s">
        <v>4556</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6961</v>
      </c>
      <c r="H5033" s="2" t="s">
        <v>4557</v>
      </c>
    </row>
    <row r="5034" spans="1:8" x14ac:dyDescent="0.2">
      <c r="A5034">
        <v>5029</v>
      </c>
      <c r="B5034" s="7">
        <f>'EstRev 6-11'!C67</f>
        <v>280000</v>
      </c>
      <c r="C5034" s="3">
        <f t="shared" si="135"/>
        <v>-274971</v>
      </c>
      <c r="E5034" s="2" t="b">
        <f t="shared" ca="1" si="134"/>
        <v>1</v>
      </c>
      <c r="F5034" s="2" cm="1">
        <f t="array" aca="1" ref="F5034" ca="1">IF(G5034&lt;&gt;"",INDIRECT("'"&amp;G5034&amp;"'!"&amp;H5034),"")</f>
        <v>280000</v>
      </c>
      <c r="G5034" s="1582" t="s">
        <v>6961</v>
      </c>
      <c r="H5034" s="2" t="s">
        <v>4558</v>
      </c>
    </row>
    <row r="5035" spans="1:8" x14ac:dyDescent="0.2">
      <c r="A5035">
        <v>5030</v>
      </c>
      <c r="B5035" s="7">
        <f>'EstRev 6-11'!C70</f>
        <v>0</v>
      </c>
      <c r="C5035" s="3">
        <f t="shared" si="135"/>
        <v>5030</v>
      </c>
      <c r="E5035" s="2" t="b">
        <f t="shared" ca="1" si="134"/>
        <v>1</v>
      </c>
      <c r="F5035" s="2" cm="1">
        <f t="array" aca="1" ref="F5035" ca="1">IF(G5035&lt;&gt;"",INDIRECT("'"&amp;G5035&amp;"'!"&amp;H5035),"")</f>
        <v>0</v>
      </c>
      <c r="G5035" s="1582" t="s">
        <v>6961</v>
      </c>
      <c r="H5035" s="2" t="s">
        <v>4560</v>
      </c>
    </row>
    <row r="5036" spans="1:8" x14ac:dyDescent="0.2">
      <c r="A5036">
        <v>5031</v>
      </c>
      <c r="B5036" s="7">
        <f>'EstRev 6-11'!C71</f>
        <v>40000</v>
      </c>
      <c r="C5036" s="3">
        <f t="shared" si="135"/>
        <v>-34969</v>
      </c>
      <c r="E5036" s="2" t="b">
        <f t="shared" ca="1" si="134"/>
        <v>1</v>
      </c>
      <c r="F5036" s="2" cm="1">
        <f t="array" aca="1" ref="F5036" ca="1">IF(G5036&lt;&gt;"",INDIRECT("'"&amp;G5036&amp;"'!"&amp;H5036),"")</f>
        <v>40000</v>
      </c>
      <c r="G5036" s="1582" t="s">
        <v>6961</v>
      </c>
      <c r="H5036" s="2" t="s">
        <v>4561</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6961</v>
      </c>
      <c r="H5037" s="2" t="s">
        <v>4562</v>
      </c>
    </row>
    <row r="5038" spans="1:8" x14ac:dyDescent="0.2">
      <c r="A5038">
        <v>5033</v>
      </c>
      <c r="B5038" s="7">
        <f>'EstRev 6-11'!C73</f>
        <v>0</v>
      </c>
      <c r="C5038" s="3">
        <f t="shared" si="135"/>
        <v>5033</v>
      </c>
      <c r="E5038" s="2" t="b">
        <f t="shared" ca="1" si="134"/>
        <v>1</v>
      </c>
      <c r="F5038" s="2" cm="1">
        <f t="array" aca="1" ref="F5038" ca="1">IF(G5038&lt;&gt;"",INDIRECT("'"&amp;G5038&amp;"'!"&amp;H5038),"")</f>
        <v>0</v>
      </c>
      <c r="G5038" s="1582" t="s">
        <v>6961</v>
      </c>
      <c r="H5038" s="2" t="s">
        <v>4563</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6961</v>
      </c>
      <c r="H5039" s="2" t="s">
        <v>4564</v>
      </c>
    </row>
    <row r="5040" spans="1:8" x14ac:dyDescent="0.2">
      <c r="A5040">
        <v>5035</v>
      </c>
      <c r="B5040" s="7">
        <f>'EstRev 6-11'!C75</f>
        <v>70000</v>
      </c>
      <c r="C5040" s="3">
        <f t="shared" si="135"/>
        <v>-64965</v>
      </c>
      <c r="E5040" s="2" t="b">
        <f t="shared" ca="1" si="134"/>
        <v>1</v>
      </c>
      <c r="F5040" s="2" cm="1">
        <f t="array" aca="1" ref="F5040" ca="1">IF(G5040&lt;&gt;"",INDIRECT("'"&amp;G5040&amp;"'!"&amp;H5040),"")</f>
        <v>70000</v>
      </c>
      <c r="G5040" s="1582" t="s">
        <v>6961</v>
      </c>
      <c r="H5040" s="2" t="s">
        <v>4565</v>
      </c>
    </row>
    <row r="5041" spans="1:8" x14ac:dyDescent="0.2">
      <c r="A5041">
        <v>5036</v>
      </c>
      <c r="B5041" s="7">
        <f>'EstRev 6-11'!C77</f>
        <v>14000</v>
      </c>
      <c r="C5041" s="3">
        <f t="shared" si="135"/>
        <v>-8964</v>
      </c>
      <c r="E5041" s="2" t="b">
        <f t="shared" ca="1" si="134"/>
        <v>1</v>
      </c>
      <c r="F5041" s="2" cm="1">
        <f t="array" aca="1" ref="F5041" ca="1">IF(G5041&lt;&gt;"",INDIRECT("'"&amp;G5041&amp;"'!"&amp;H5041),"")</f>
        <v>14000</v>
      </c>
      <c r="G5041" s="1582" t="s">
        <v>6961</v>
      </c>
      <c r="H5041" s="2" t="s">
        <v>4567</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6961</v>
      </c>
      <c r="H5042" s="2" t="s">
        <v>5210</v>
      </c>
    </row>
    <row r="5043" spans="1:8" x14ac:dyDescent="0.2">
      <c r="A5043">
        <v>5038</v>
      </c>
      <c r="B5043" s="7">
        <f>'EstRev 6-11'!C79</f>
        <v>2500</v>
      </c>
      <c r="C5043" s="3">
        <f t="shared" si="135"/>
        <v>2538</v>
      </c>
      <c r="E5043" s="2" t="b">
        <f t="shared" ca="1" si="134"/>
        <v>1</v>
      </c>
      <c r="F5043" s="2" cm="1">
        <f t="array" aca="1" ref="F5043" ca="1">IF(G5043&lt;&gt;"",INDIRECT("'"&amp;G5043&amp;"'!"&amp;H5043),"")</f>
        <v>2500</v>
      </c>
      <c r="G5043" s="1582" t="s">
        <v>6961</v>
      </c>
      <c r="H5043" s="2" t="s">
        <v>5211</v>
      </c>
    </row>
    <row r="5044" spans="1:8" x14ac:dyDescent="0.2">
      <c r="A5044">
        <v>5039</v>
      </c>
      <c r="B5044" s="7">
        <f>'EstRev 6-11'!C80</f>
        <v>0</v>
      </c>
      <c r="C5044" s="3">
        <f t="shared" si="135"/>
        <v>5039</v>
      </c>
      <c r="E5044" s="2" t="b">
        <f t="shared" ca="1" si="134"/>
        <v>1</v>
      </c>
      <c r="F5044" s="2" cm="1">
        <f t="array" aca="1" ref="F5044" ca="1">IF(G5044&lt;&gt;"",INDIRECT("'"&amp;G5044&amp;"'!"&amp;H5044),"")</f>
        <v>0</v>
      </c>
      <c r="G5044" s="1582" t="s">
        <v>6961</v>
      </c>
      <c r="H5044" s="2" t="s">
        <v>5212</v>
      </c>
    </row>
    <row r="5045" spans="1:8" x14ac:dyDescent="0.2">
      <c r="A5045">
        <v>5040</v>
      </c>
      <c r="B5045" s="7">
        <f>'EstRev 6-11'!C81</f>
        <v>9000</v>
      </c>
      <c r="C5045" s="3">
        <f t="shared" si="135"/>
        <v>-3960</v>
      </c>
      <c r="E5045" s="2" t="b">
        <f t="shared" ca="1" si="134"/>
        <v>1</v>
      </c>
      <c r="F5045" s="2" cm="1">
        <f t="array" aca="1" ref="F5045" ca="1">IF(G5045&lt;&gt;"",INDIRECT("'"&amp;G5045&amp;"'!"&amp;H5045),"")</f>
        <v>9000</v>
      </c>
      <c r="G5045" s="1582" t="s">
        <v>6961</v>
      </c>
      <c r="H5045" s="2" t="s">
        <v>5052</v>
      </c>
    </row>
    <row r="5046" spans="1:8" x14ac:dyDescent="0.2">
      <c r="A5046">
        <v>5041</v>
      </c>
      <c r="B5046" s="7">
        <f>'EstRev 6-11'!C83</f>
        <v>25500</v>
      </c>
      <c r="C5046" s="3">
        <f t="shared" si="135"/>
        <v>-20459</v>
      </c>
      <c r="E5046" s="2" t="b">
        <f t="shared" ca="1" si="134"/>
        <v>1</v>
      </c>
      <c r="F5046" s="2" cm="1">
        <f t="array" aca="1" ref="F5046" ca="1">IF(G5046&lt;&gt;"",INDIRECT("'"&amp;G5046&amp;"'!"&amp;H5046),"")</f>
        <v>25500</v>
      </c>
      <c r="G5046" s="1582" t="s">
        <v>6961</v>
      </c>
      <c r="H5046" s="2" t="s">
        <v>5485</v>
      </c>
    </row>
    <row r="5047" spans="1:8" x14ac:dyDescent="0.2">
      <c r="A5047">
        <v>5042</v>
      </c>
      <c r="B5047" s="7">
        <f>'EstRev 6-11'!C86</f>
        <v>40000</v>
      </c>
      <c r="C5047" s="3">
        <f t="shared" si="135"/>
        <v>-34958</v>
      </c>
      <c r="E5047" s="2" t="b">
        <f t="shared" ca="1" si="134"/>
        <v>1</v>
      </c>
      <c r="F5047" s="2" cm="1">
        <f t="array" aca="1" ref="F5047" ca="1">IF(G5047&lt;&gt;"",INDIRECT("'"&amp;G5047&amp;"'!"&amp;H5047),"")</f>
        <v>40000</v>
      </c>
      <c r="G5047" s="1582" t="s">
        <v>6961</v>
      </c>
      <c r="H5047" s="2" t="s">
        <v>5486</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6961</v>
      </c>
      <c r="H5048" s="2" t="s">
        <v>5487</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6961</v>
      </c>
      <c r="H5049" s="2" t="s">
        <v>5488</v>
      </c>
    </row>
    <row r="5050" spans="1:8" x14ac:dyDescent="0.2">
      <c r="A5050">
        <v>5045</v>
      </c>
      <c r="B5050" s="7">
        <f>'EstRev 6-11'!C89</f>
        <v>2000</v>
      </c>
      <c r="C5050" s="3">
        <f t="shared" si="135"/>
        <v>3045</v>
      </c>
      <c r="E5050" s="2" t="b">
        <f t="shared" ca="1" si="134"/>
        <v>1</v>
      </c>
      <c r="F5050" s="2" cm="1">
        <f t="array" aca="1" ref="F5050" ca="1">IF(G5050&lt;&gt;"",INDIRECT("'"&amp;G5050&amp;"'!"&amp;H5050),"")</f>
        <v>2000</v>
      </c>
      <c r="G5050" s="1582" t="s">
        <v>6961</v>
      </c>
      <c r="H5050" s="2" t="s">
        <v>5489</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6961</v>
      </c>
      <c r="H5051" s="2" t="s">
        <v>5490</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6961</v>
      </c>
      <c r="H5052" s="2" t="s">
        <v>5491</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6961</v>
      </c>
      <c r="H5053" s="2" t="s">
        <v>5492</v>
      </c>
    </row>
    <row r="5054" spans="1:8" x14ac:dyDescent="0.2">
      <c r="A5054">
        <v>5049</v>
      </c>
      <c r="B5054" s="7">
        <f>'EstRev 6-11'!C93</f>
        <v>0</v>
      </c>
      <c r="C5054" s="3">
        <f t="shared" si="135"/>
        <v>5049</v>
      </c>
      <c r="E5054" s="2" t="b">
        <f t="shared" ca="1" si="134"/>
        <v>1</v>
      </c>
      <c r="F5054" s="2" cm="1">
        <f t="array" aca="1" ref="F5054" ca="1">IF(G5054&lt;&gt;"",INDIRECT("'"&amp;G5054&amp;"'!"&amp;H5054),"")</f>
        <v>0</v>
      </c>
      <c r="G5054" s="1582" t="s">
        <v>6961</v>
      </c>
      <c r="H5054" s="2" t="s">
        <v>5493</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6961</v>
      </c>
      <c r="H5055" s="2" t="s">
        <v>5494</v>
      </c>
    </row>
    <row r="5056" spans="1:8" x14ac:dyDescent="0.2">
      <c r="A5056">
        <v>5051</v>
      </c>
      <c r="B5056" s="7">
        <f>'EstRev 6-11'!C95</f>
        <v>42000</v>
      </c>
      <c r="C5056" s="3">
        <f t="shared" si="135"/>
        <v>-36949</v>
      </c>
      <c r="E5056" s="2" t="b">
        <f t="shared" ca="1" si="134"/>
        <v>1</v>
      </c>
      <c r="F5056" s="2" cm="1">
        <f t="array" aca="1" ref="F5056" ca="1">IF(G5056&lt;&gt;"",INDIRECT("'"&amp;G5056&amp;"'!"&amp;H5056),"")</f>
        <v>42000</v>
      </c>
      <c r="G5056" s="1582" t="s">
        <v>6961</v>
      </c>
      <c r="H5056" s="2" t="s">
        <v>5495</v>
      </c>
    </row>
    <row r="5057" spans="1:11" x14ac:dyDescent="0.2">
      <c r="A5057">
        <v>5052</v>
      </c>
      <c r="B5057" s="7">
        <f>'EstRev 6-11'!C97</f>
        <v>0</v>
      </c>
      <c r="C5057" s="3">
        <f t="shared" si="135"/>
        <v>5052</v>
      </c>
      <c r="E5057" s="2" t="b">
        <f t="shared" ca="1" si="134"/>
        <v>1</v>
      </c>
      <c r="F5057" s="2" cm="1">
        <f t="array" aca="1" ref="F5057" ca="1">IF(G5057&lt;&gt;"",INDIRECT("'"&amp;G5057&amp;"'!"&amp;H5057),"")</f>
        <v>0</v>
      </c>
      <c r="G5057" s="1582" t="s">
        <v>6961</v>
      </c>
      <c r="H5057" s="2" t="s">
        <v>5496</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6961</v>
      </c>
      <c r="H5058" s="2" t="s">
        <v>5497</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6961</v>
      </c>
      <c r="H5059" s="2" t="s">
        <v>5498</v>
      </c>
    </row>
    <row r="5060" spans="1:11" x14ac:dyDescent="0.2">
      <c r="A5060">
        <v>5055</v>
      </c>
      <c r="B5060" s="7">
        <f>'EstRev 6-11'!C101</f>
        <v>0</v>
      </c>
      <c r="C5060" s="3">
        <f t="shared" si="135"/>
        <v>5055</v>
      </c>
      <c r="E5060" s="2" t="b">
        <f t="shared" ca="1" si="136"/>
        <v>1</v>
      </c>
      <c r="F5060" s="2" cm="1">
        <f t="array" aca="1" ref="F5060" ca="1">IF(G5060&lt;&gt;"",INDIRECT("'"&amp;G5060&amp;"'!"&amp;H5060),"")</f>
        <v>0</v>
      </c>
      <c r="G5060" s="1582" t="s">
        <v>6961</v>
      </c>
      <c r="H5060" s="2" t="s">
        <v>5499</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6961</v>
      </c>
      <c r="H5061" s="2" t="s">
        <v>5500</v>
      </c>
    </row>
    <row r="5062" spans="1:11" x14ac:dyDescent="0.2">
      <c r="A5062">
        <v>5057</v>
      </c>
      <c r="B5062" s="7">
        <f>'EstRev 6-11'!C108</f>
        <v>0</v>
      </c>
      <c r="C5062" s="3">
        <f t="shared" si="135"/>
        <v>5057</v>
      </c>
      <c r="E5062" s="2" t="b">
        <f t="shared" ca="1" si="136"/>
        <v>1</v>
      </c>
      <c r="F5062" s="2" cm="1">
        <f t="array" aca="1" ref="F5062" ca="1">IF(G5062&lt;&gt;"",INDIRECT("'"&amp;G5062&amp;"'!"&amp;H5062),"")</f>
        <v>0</v>
      </c>
      <c r="G5062" s="1582" t="s">
        <v>6961</v>
      </c>
      <c r="H5062" s="2" t="s">
        <v>5501</v>
      </c>
    </row>
    <row r="5063" spans="1:11" x14ac:dyDescent="0.2">
      <c r="A5063">
        <v>5058</v>
      </c>
      <c r="B5063" s="7">
        <f>'EstRev 6-11'!C109</f>
        <v>0</v>
      </c>
      <c r="C5063" s="3">
        <f t="shared" si="135"/>
        <v>5058</v>
      </c>
      <c r="E5063" s="2" t="b">
        <f t="shared" ca="1" si="136"/>
        <v>1</v>
      </c>
      <c r="F5063" s="2" cm="1">
        <f t="array" aca="1" ref="F5063" ca="1">IF(G5063&lt;&gt;"",INDIRECT("'"&amp;G5063&amp;"'!"&amp;H5063),"")</f>
        <v>0</v>
      </c>
      <c r="G5063" s="1582" t="s">
        <v>6961</v>
      </c>
      <c r="H5063" s="2" t="s">
        <v>5502</v>
      </c>
    </row>
    <row r="5064" spans="1:11" x14ac:dyDescent="0.2">
      <c r="A5064">
        <v>5059</v>
      </c>
      <c r="B5064" s="7">
        <f>'EstRev 6-11'!C110</f>
        <v>0</v>
      </c>
      <c r="C5064" s="3">
        <f t="shared" ref="C5064:C5125" si="137">A5064-B5064</f>
        <v>5059</v>
      </c>
      <c r="E5064" s="2" t="b">
        <f t="shared" ca="1" si="136"/>
        <v>1</v>
      </c>
      <c r="F5064" s="2" cm="1">
        <f t="array" aca="1" ref="F5064" ca="1">IF(G5064&lt;&gt;"",INDIRECT("'"&amp;G5064&amp;"'!"&amp;H5064),"")</f>
        <v>0</v>
      </c>
      <c r="G5064" s="1582" t="s">
        <v>6961</v>
      </c>
      <c r="H5064" s="2" t="s">
        <v>5503</v>
      </c>
    </row>
    <row r="5065" spans="1:11" x14ac:dyDescent="0.2">
      <c r="A5065">
        <v>5060</v>
      </c>
      <c r="B5065" s="7">
        <f>'EstRev 6-11'!C111</f>
        <v>4133500</v>
      </c>
      <c r="C5065" s="3">
        <f t="shared" si="137"/>
        <v>-4128440</v>
      </c>
      <c r="E5065" s="2" t="b">
        <f t="shared" ca="1" si="136"/>
        <v>1</v>
      </c>
      <c r="F5065" s="2" cm="1">
        <f t="array" aca="1" ref="F5065" ca="1">IF(G5065&lt;&gt;"",INDIRECT("'"&amp;G5065&amp;"'!"&amp;H5065),"")</f>
        <v>4133500</v>
      </c>
      <c r="G5065" s="1582" t="s">
        <v>6961</v>
      </c>
      <c r="H5065" s="2" t="s">
        <v>5504</v>
      </c>
    </row>
    <row r="5066" spans="1:11" x14ac:dyDescent="0.2">
      <c r="A5066">
        <v>5061</v>
      </c>
      <c r="B5066" s="7">
        <f>'EstRev 6-11'!C114</f>
        <v>0</v>
      </c>
      <c r="C5066" s="3">
        <f t="shared" si="137"/>
        <v>5061</v>
      </c>
      <c r="E5066" s="2" t="b">
        <f t="shared" ca="1" si="136"/>
        <v>1</v>
      </c>
      <c r="F5066" s="2" cm="1">
        <f t="array" aca="1" ref="F5066" ca="1">IF(G5066&lt;&gt;"",INDIRECT("'"&amp;G5066&amp;"'!"&amp;H5066),"")</f>
        <v>0</v>
      </c>
      <c r="G5066" s="1582" t="s">
        <v>6961</v>
      </c>
      <c r="H5066" s="2" t="s">
        <v>5505</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6961</v>
      </c>
      <c r="H5067" s="2" t="s">
        <v>5506</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6961</v>
      </c>
      <c r="H5068" s="2" t="s">
        <v>4568</v>
      </c>
    </row>
    <row r="5069" spans="1:11" x14ac:dyDescent="0.2">
      <c r="A5069">
        <v>5064</v>
      </c>
      <c r="B5069" s="7">
        <f>'EstRev 6-11'!C117</f>
        <v>0</v>
      </c>
      <c r="C5069" s="3">
        <f t="shared" si="137"/>
        <v>5064</v>
      </c>
      <c r="E5069" s="2" t="b">
        <f t="shared" ca="1" si="136"/>
        <v>1</v>
      </c>
      <c r="F5069" s="2" cm="1">
        <f t="array" aca="1" ref="F5069" ca="1">IF(G5069&lt;&gt;"",INDIRECT("'"&amp;G5069&amp;"'!"&amp;H5069),"")</f>
        <v>0</v>
      </c>
      <c r="G5069" s="1582" t="s">
        <v>6961</v>
      </c>
      <c r="H5069" s="2" t="s">
        <v>5507</v>
      </c>
    </row>
    <row r="5070" spans="1:11" x14ac:dyDescent="0.2">
      <c r="A5070">
        <v>5065</v>
      </c>
      <c r="B5070" s="7">
        <f>'EstRev 6-11'!C120</f>
        <v>770000</v>
      </c>
      <c r="C5070" s="3">
        <f t="shared" si="137"/>
        <v>-764935</v>
      </c>
      <c r="E5070" s="2" t="b">
        <f t="shared" ca="1" si="136"/>
        <v>1</v>
      </c>
      <c r="F5070" s="2" cm="1">
        <f t="array" aca="1" ref="F5070" ca="1">IF(G5070&lt;&gt;"",INDIRECT("'"&amp;G5070&amp;"'!"&amp;H5070),"")</f>
        <v>770000</v>
      </c>
      <c r="G5070" s="1582" t="s">
        <v>6961</v>
      </c>
      <c r="H5070" s="2" t="s">
        <v>5508</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6961</v>
      </c>
      <c r="H5071" s="2" t="s">
        <v>5509</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770000</v>
      </c>
      <c r="C5076" s="3">
        <f t="shared" si="137"/>
        <v>-764929</v>
      </c>
      <c r="E5076" s="2" t="b">
        <f t="shared" ca="1" si="136"/>
        <v>1</v>
      </c>
      <c r="F5076" s="2" cm="1">
        <f t="array" aca="1" ref="F5076" ca="1">IF(G5076&lt;&gt;"",INDIRECT("'"&amp;G5076&amp;"'!"&amp;H5076),"")</f>
        <v>770000</v>
      </c>
      <c r="G5076" s="1582" t="s">
        <v>6961</v>
      </c>
      <c r="H5076" s="2" t="s">
        <v>5328</v>
      </c>
    </row>
    <row r="5077" spans="1:11" x14ac:dyDescent="0.2">
      <c r="A5077">
        <v>5072</v>
      </c>
      <c r="B5077" s="7">
        <f>'EstRev 6-11'!C127</f>
        <v>0</v>
      </c>
      <c r="C5077" s="3">
        <f t="shared" si="137"/>
        <v>5072</v>
      </c>
      <c r="E5077" s="2" t="b">
        <f t="shared" ca="1" si="136"/>
        <v>1</v>
      </c>
      <c r="F5077" s="2" cm="1">
        <f t="array" aca="1" ref="F5077" ca="1">IF(G5077&lt;&gt;"",INDIRECT("'"&amp;G5077&amp;"'!"&amp;H5077),"")</f>
        <v>0</v>
      </c>
      <c r="G5077" s="1582" t="s">
        <v>6961</v>
      </c>
      <c r="H5077" s="2" t="s">
        <v>4806</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6961</v>
      </c>
      <c r="H5078" s="2" t="s">
        <v>4807</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6961</v>
      </c>
      <c r="H5079" s="2" t="s">
        <v>5248</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0</v>
      </c>
      <c r="C5081" s="3">
        <f t="shared" si="137"/>
        <v>5076</v>
      </c>
      <c r="E5081" s="2" t="b">
        <f t="shared" ca="1" si="136"/>
        <v>1</v>
      </c>
      <c r="F5081" s="2" cm="1">
        <f t="array" aca="1" ref="F5081" ca="1">IF(G5081&lt;&gt;"",INDIRECT("'"&amp;G5081&amp;"'!"&amp;H5081),"")</f>
        <v>0</v>
      </c>
      <c r="G5081" s="1582" t="s">
        <v>6961</v>
      </c>
      <c r="H5081" s="2" t="s">
        <v>5510</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6961</v>
      </c>
      <c r="H5083" s="2" t="s">
        <v>4808</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6961</v>
      </c>
      <c r="H5086" s="2" t="s">
        <v>4809</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0</v>
      </c>
      <c r="C5091" s="3">
        <f t="shared" si="137"/>
        <v>5086</v>
      </c>
      <c r="E5091" s="2" t="b">
        <f t="shared" ca="1" si="136"/>
        <v>1</v>
      </c>
      <c r="F5091" s="2" cm="1">
        <f t="array" aca="1" ref="F5091" ca="1">IF(G5091&lt;&gt;"",INDIRECT("'"&amp;G5091&amp;"'!"&amp;H5091),"")</f>
        <v>0</v>
      </c>
      <c r="G5091" s="1582" t="s">
        <v>6961</v>
      </c>
      <c r="H5091" s="2" t="s">
        <v>5117</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6961</v>
      </c>
      <c r="H5092" s="2" t="s">
        <v>5511</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6961</v>
      </c>
      <c r="H5096" s="2" t="s">
        <v>5512</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6961</v>
      </c>
      <c r="H5097" s="2" t="s">
        <v>5513</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0</v>
      </c>
      <c r="C5105" s="3">
        <f t="shared" si="137"/>
        <v>5100</v>
      </c>
      <c r="E5105" s="2" t="b">
        <f t="shared" ca="1" si="136"/>
        <v>1</v>
      </c>
      <c r="F5105" s="2" cm="1">
        <f t="array" aca="1" ref="F5105" ca="1">IF(G5105&lt;&gt;"",INDIRECT("'"&amp;G5105&amp;"'!"&amp;H5105),"")</f>
        <v>0</v>
      </c>
      <c r="G5105" s="1582" t="s">
        <v>6961</v>
      </c>
      <c r="H5105" s="2" t="s">
        <v>5514</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6961</v>
      </c>
      <c r="H5107" s="2" t="s">
        <v>5515</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6961</v>
      </c>
      <c r="H5108" s="2" t="s">
        <v>5516</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6961</v>
      </c>
      <c r="H5109" s="2" t="s">
        <v>5517</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500</v>
      </c>
      <c r="C5111" s="3">
        <f t="shared" si="137"/>
        <v>4606</v>
      </c>
      <c r="E5111" s="2" t="b">
        <f t="shared" ca="1" si="136"/>
        <v>1</v>
      </c>
      <c r="F5111" s="2" cm="1">
        <f t="array" aca="1" ref="F5111" ca="1">IF(G5111&lt;&gt;"",INDIRECT("'"&amp;G5111&amp;"'!"&amp;H5111),"")</f>
        <v>500</v>
      </c>
      <c r="G5111" s="1582" t="s">
        <v>6961</v>
      </c>
      <c r="H5111" s="2" t="s">
        <v>5518</v>
      </c>
    </row>
    <row r="5112" spans="1:11" x14ac:dyDescent="0.2">
      <c r="A5112">
        <v>5107</v>
      </c>
      <c r="B5112" s="7">
        <f>'EstRev 6-11'!C150</f>
        <v>6000</v>
      </c>
      <c r="C5112" s="3">
        <f t="shared" si="137"/>
        <v>-893</v>
      </c>
      <c r="E5112" s="2" t="b">
        <f t="shared" ca="1" si="136"/>
        <v>1</v>
      </c>
      <c r="F5112" s="2" cm="1">
        <f t="array" aca="1" ref="F5112" ca="1">IF(G5112&lt;&gt;"",INDIRECT("'"&amp;G5112&amp;"'!"&amp;H5112),"")</f>
        <v>6000</v>
      </c>
      <c r="G5112" s="1582" t="s">
        <v>6961</v>
      </c>
      <c r="H5112" s="2" t="s">
        <v>5519</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6961</v>
      </c>
      <c r="H5115" s="2" t="s">
        <v>5520</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6961</v>
      </c>
      <c r="H5119" s="2" t="s">
        <v>5521</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6961</v>
      </c>
      <c r="H5121" s="2" t="s">
        <v>4811</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6961</v>
      </c>
      <c r="H5122" s="2" t="s">
        <v>5522</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6961</v>
      </c>
      <c r="H5125" s="2" t="s">
        <v>5523</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6961</v>
      </c>
      <c r="H5131" s="2" t="s">
        <v>5524</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6961</v>
      </c>
      <c r="H5138" s="2" t="s">
        <v>5525</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108000</v>
      </c>
      <c r="C5140" s="3">
        <f t="shared" si="139"/>
        <v>-102865</v>
      </c>
      <c r="E5140" s="2" t="b">
        <f t="shared" ca="1" si="138"/>
        <v>1</v>
      </c>
      <c r="F5140" s="2" cm="1">
        <f t="array" aca="1" ref="F5140" ca="1">IF(G5140&lt;&gt;"",INDIRECT("'"&amp;G5140&amp;"'!"&amp;H5140),"")</f>
        <v>108000</v>
      </c>
      <c r="G5140" s="1582" t="s">
        <v>6961</v>
      </c>
      <c r="H5140" s="2" t="s">
        <v>5526</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115300</v>
      </c>
      <c r="C5158" s="3">
        <f t="shared" si="139"/>
        <v>-110147</v>
      </c>
      <c r="E5158" s="2" t="b">
        <f t="shared" ca="1" si="138"/>
        <v>1</v>
      </c>
      <c r="F5158" s="2" cm="1">
        <f t="array" aca="1" ref="F5158" ca="1">IF(G5158&lt;&gt;"",INDIRECT("'"&amp;G5158&amp;"'!"&amp;H5158),"")</f>
        <v>115300</v>
      </c>
      <c r="G5158" s="1582" t="s">
        <v>6961</v>
      </c>
      <c r="H5158" s="2" t="s">
        <v>5527</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885300</v>
      </c>
      <c r="C5167" s="3">
        <f t="shared" si="139"/>
        <v>-880138</v>
      </c>
      <c r="E5167" s="2" t="b">
        <f t="shared" ca="1" si="138"/>
        <v>1</v>
      </c>
      <c r="F5167" s="2" cm="1">
        <f t="array" aca="1" ref="F5167" ca="1">IF(G5167&lt;&gt;"",INDIRECT("'"&amp;G5167&amp;"'!"&amp;H5167),"")</f>
        <v>885300</v>
      </c>
      <c r="G5167" s="1582" t="s">
        <v>6961</v>
      </c>
      <c r="H5167" s="2" t="s">
        <v>5528</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6961</v>
      </c>
      <c r="H5168" s="2" t="s">
        <v>5529</v>
      </c>
    </row>
    <row r="5169" spans="1:11" x14ac:dyDescent="0.2">
      <c r="A5169">
        <v>5164</v>
      </c>
      <c r="B5169" s="7">
        <f>'EstRev 6-11'!C177</f>
        <v>37000</v>
      </c>
      <c r="C5169" s="3">
        <f t="shared" si="139"/>
        <v>-31836</v>
      </c>
      <c r="E5169" s="2" t="b">
        <f t="shared" ca="1" si="138"/>
        <v>1</v>
      </c>
      <c r="F5169" s="2" cm="1">
        <f t="array" aca="1" ref="F5169" ca="1">IF(G5169&lt;&gt;"",INDIRECT("'"&amp;G5169&amp;"'!"&amp;H5169),"")</f>
        <v>37000</v>
      </c>
      <c r="G5169" s="1582" t="s">
        <v>6961</v>
      </c>
      <c r="H5169" s="2" t="s">
        <v>5530</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6961</v>
      </c>
      <c r="H5174" s="2" t="s">
        <v>5531</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6961</v>
      </c>
      <c r="H5175" s="2" t="s">
        <v>5532</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6961</v>
      </c>
      <c r="H5176" s="2" t="s">
        <v>5533</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6961</v>
      </c>
      <c r="H5177" s="2" t="s">
        <v>4889</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145000</v>
      </c>
      <c r="C5183" s="3">
        <f t="shared" si="139"/>
        <v>-139822</v>
      </c>
      <c r="E5183" s="2" t="b">
        <f t="shared" ca="1" si="138"/>
        <v>1</v>
      </c>
      <c r="F5183" s="2" cm="1">
        <f t="array" aca="1" ref="F5183" ca="1">IF(G5183&lt;&gt;"",INDIRECT("'"&amp;G5183&amp;"'!"&amp;H5183),"")</f>
        <v>145000</v>
      </c>
      <c r="G5183" s="1582" t="s">
        <v>6961</v>
      </c>
      <c r="H5183" s="2" t="s">
        <v>5534</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6961</v>
      </c>
      <c r="H5184" s="2" t="s">
        <v>5535</v>
      </c>
    </row>
    <row r="5185" spans="1:19" x14ac:dyDescent="0.2">
      <c r="A5185">
        <v>5180</v>
      </c>
      <c r="B5185" s="7">
        <f>'EstRev 6-11'!C195</f>
        <v>9000</v>
      </c>
      <c r="C5185" s="3">
        <f t="shared" si="139"/>
        <v>-3820</v>
      </c>
      <c r="E5185" s="2" t="b">
        <f t="shared" ca="1" si="138"/>
        <v>1</v>
      </c>
      <c r="F5185" s="2" cm="1">
        <f t="array" aca="1" ref="F5185" ca="1">IF(G5185&lt;&gt;"",INDIRECT("'"&amp;G5185&amp;"'!"&amp;H5185),"")</f>
        <v>9000</v>
      </c>
      <c r="G5185" s="1582" t="s">
        <v>6961</v>
      </c>
      <c r="H5185" s="2" t="s">
        <v>5536</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6961</v>
      </c>
      <c r="H5186" s="2" t="s">
        <v>5537</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6961</v>
      </c>
      <c r="H5187" s="2" t="s">
        <v>5538</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154000</v>
      </c>
      <c r="C5190" s="3">
        <f t="shared" si="139"/>
        <v>-148815</v>
      </c>
      <c r="E5190" s="2" t="b">
        <f t="shared" ca="1" si="140"/>
        <v>1</v>
      </c>
      <c r="F5190" s="2" cm="1">
        <f t="array" aca="1" ref="F5190" ca="1">IF(G5190&lt;&gt;"",INDIRECT("'"&amp;G5190&amp;"'!"&amp;H5190),"")</f>
        <v>154000</v>
      </c>
      <c r="G5190" s="1582" t="s">
        <v>6961</v>
      </c>
      <c r="H5190" s="2" t="s">
        <v>5539</v>
      </c>
    </row>
    <row r="5191" spans="1:19" x14ac:dyDescent="0.2">
      <c r="A5191">
        <v>5186</v>
      </c>
      <c r="B5191" s="7">
        <f>'EstRev 6-11'!C202</f>
        <v>70500</v>
      </c>
      <c r="C5191" s="3">
        <f t="shared" si="139"/>
        <v>-65314</v>
      </c>
      <c r="E5191" s="2" t="b">
        <f t="shared" ca="1" si="140"/>
        <v>1</v>
      </c>
      <c r="F5191" s="2" cm="1">
        <f t="array" aca="1" ref="F5191" ca="1">IF(G5191&lt;&gt;"",INDIRECT("'"&amp;G5191&amp;"'!"&amp;H5191),"")</f>
        <v>70500</v>
      </c>
      <c r="G5191" s="1582" t="s">
        <v>6961</v>
      </c>
      <c r="H5191" s="2" t="s">
        <v>5540</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6961</v>
      </c>
      <c r="H5192" s="2" t="s">
        <v>5541</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6961</v>
      </c>
      <c r="H5199" s="2" t="s">
        <v>5542</v>
      </c>
    </row>
    <row r="5200" spans="1:19" x14ac:dyDescent="0.2">
      <c r="A5200">
        <v>5195</v>
      </c>
      <c r="B5200" s="7">
        <f>'EstRev 6-11'!C208</f>
        <v>0</v>
      </c>
      <c r="C5200" s="3">
        <f t="shared" si="141"/>
        <v>5195</v>
      </c>
      <c r="E5200" s="2" t="b">
        <f t="shared" ca="1" si="140"/>
        <v>1</v>
      </c>
      <c r="F5200" s="2" cm="1">
        <f t="array" aca="1" ref="F5200" ca="1">IF(G5200&lt;&gt;"",INDIRECT("'"&amp;G5200&amp;"'!"&amp;H5200),"")</f>
        <v>0</v>
      </c>
      <c r="G5200" s="1582" t="s">
        <v>6961</v>
      </c>
      <c r="H5200" s="2" t="s">
        <v>5543</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70500</v>
      </c>
      <c r="C5204" s="3">
        <f t="shared" si="141"/>
        <v>-65301</v>
      </c>
      <c r="E5204" s="2" t="b">
        <f t="shared" ca="1" si="140"/>
        <v>1</v>
      </c>
      <c r="F5204" s="2" cm="1">
        <f t="array" aca="1" ref="F5204" ca="1">IF(G5204&lt;&gt;"",INDIRECT("'"&amp;G5204&amp;"'!"&amp;H5204),"")</f>
        <v>70500</v>
      </c>
      <c r="G5204" s="1582" t="s">
        <v>6961</v>
      </c>
      <c r="H5204" s="2" t="s">
        <v>5544</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1500</v>
      </c>
      <c r="C5218" s="3">
        <f t="shared" si="141"/>
        <v>3713</v>
      </c>
      <c r="E5218" s="2" t="b">
        <f t="shared" ca="1" si="140"/>
        <v>1</v>
      </c>
      <c r="F5218" s="2" cm="1">
        <f t="array" aca="1" ref="F5218" ca="1">IF(G5218&lt;&gt;"",INDIRECT("'"&amp;G5218&amp;"'!"&amp;H5218),"")</f>
        <v>1500</v>
      </c>
      <c r="G5218" s="1582" t="s">
        <v>6961</v>
      </c>
      <c r="H5218" s="2" t="s">
        <v>4892</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6961</v>
      </c>
      <c r="H5219" s="2" t="s">
        <v>5545</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102000</v>
      </c>
      <c r="C5222" s="3">
        <f t="shared" si="141"/>
        <v>-96783</v>
      </c>
      <c r="E5222" s="2" t="b">
        <f t="shared" ca="1" si="140"/>
        <v>1</v>
      </c>
      <c r="F5222" s="2" cm="1">
        <f t="array" aca="1" ref="F5222" ca="1">IF(G5222&lt;&gt;"",INDIRECT("'"&amp;G5222&amp;"'!"&amp;H5222),"")</f>
        <v>102000</v>
      </c>
      <c r="G5222" s="1582" t="s">
        <v>6961</v>
      </c>
      <c r="H5222" s="2" t="s">
        <v>5546</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6961</v>
      </c>
      <c r="H5223" s="2" t="s">
        <v>5547</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6961</v>
      </c>
      <c r="H5224" s="2" t="s">
        <v>5548</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103500</v>
      </c>
      <c r="C5230" s="3">
        <f t="shared" si="141"/>
        <v>-98275</v>
      </c>
      <c r="E5230" s="2" t="b">
        <f t="shared" ca="1" si="140"/>
        <v>1</v>
      </c>
      <c r="F5230" s="2" cm="1">
        <f t="array" aca="1" ref="F5230" ca="1">IF(G5230&lt;&gt;"",INDIRECT("'"&amp;G5230&amp;"'!"&amp;H5230),"")</f>
        <v>103500</v>
      </c>
      <c r="G5230" s="1582" t="s">
        <v>6961</v>
      </c>
      <c r="H5230" s="2" t="s">
        <v>5549</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6961</v>
      </c>
      <c r="H5245" s="2" t="s">
        <v>5550</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6961</v>
      </c>
      <c r="H5248" s="2" t="s">
        <v>5551</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6961</v>
      </c>
      <c r="H5254" s="2" t="s">
        <v>5552</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6961</v>
      </c>
      <c r="H5256" s="2" t="s">
        <v>5553</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6961</v>
      </c>
      <c r="H5259" s="2" t="s">
        <v>5554</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6961</v>
      </c>
      <c r="H5261" s="2" t="s">
        <v>5555</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430700</v>
      </c>
      <c r="C5264" s="3">
        <f t="shared" si="143"/>
        <v>-425441</v>
      </c>
      <c r="E5264" s="2" t="b">
        <f t="shared" ca="1" si="142"/>
        <v>1</v>
      </c>
      <c r="F5264" s="2" cm="1">
        <f t="array" aca="1" ref="F5264" ca="1">IF(G5264&lt;&gt;"",INDIRECT("'"&amp;G5264&amp;"'!"&amp;H5264),"")</f>
        <v>430700</v>
      </c>
      <c r="G5264" s="1582" t="s">
        <v>6961</v>
      </c>
      <c r="H5264" s="2" t="s">
        <v>5556</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467700</v>
      </c>
      <c r="C5270" s="3">
        <f t="shared" si="143"/>
        <v>-462435</v>
      </c>
      <c r="E5270" s="2" t="b">
        <f t="shared" ca="1" si="142"/>
        <v>1</v>
      </c>
      <c r="F5270" s="2" cm="1">
        <f t="array" aca="1" ref="F5270" ca="1">IF(G5270&lt;&gt;"",INDIRECT("'"&amp;G5270&amp;"'!"&amp;H5270),"")</f>
        <v>467700</v>
      </c>
      <c r="G5270" s="1582" t="s">
        <v>6961</v>
      </c>
      <c r="H5270" s="2" t="s">
        <v>5557</v>
      </c>
    </row>
    <row r="5271" spans="1:11" x14ac:dyDescent="0.2">
      <c r="A5271">
        <v>5266</v>
      </c>
      <c r="B5271" s="7">
        <f>'EstRev 6-11'!C272</f>
        <v>5486500</v>
      </c>
      <c r="C5271" s="3">
        <f t="shared" si="143"/>
        <v>-5481234</v>
      </c>
      <c r="E5271" s="2" t="b">
        <f t="shared" ca="1" si="142"/>
        <v>1</v>
      </c>
      <c r="F5271" s="2" cm="1">
        <f t="array" aca="1" ref="F5271" ca="1">IF(G5271&lt;&gt;"",INDIRECT("'"&amp;G5271&amp;"'!"&amp;H5271),"")</f>
        <v>5486500</v>
      </c>
      <c r="G5271" s="1582" t="s">
        <v>6961</v>
      </c>
      <c r="H5271" s="2" t="s">
        <v>5558</v>
      </c>
    </row>
    <row r="5272" spans="1:11" x14ac:dyDescent="0.2">
      <c r="A5272">
        <v>5267</v>
      </c>
      <c r="B5272" s="7">
        <f>'EstRev 6-11'!D5</f>
        <v>410000</v>
      </c>
      <c r="C5272" s="3">
        <f t="shared" si="143"/>
        <v>-404733</v>
      </c>
      <c r="E5272" s="2" t="b">
        <f t="shared" ca="1" si="142"/>
        <v>1</v>
      </c>
      <c r="F5272" s="2" cm="1">
        <f t="array" aca="1" ref="F5272" ca="1">IF(G5272&lt;&gt;"",INDIRECT("'"&amp;G5272&amp;"'!"&amp;H5272),"")</f>
        <v>410000</v>
      </c>
      <c r="G5272" s="1582" t="s">
        <v>6961</v>
      </c>
      <c r="H5272" s="2" t="s">
        <v>4569</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0</v>
      </c>
      <c r="C5274" s="3">
        <f t="shared" si="143"/>
        <v>5269</v>
      </c>
      <c r="E5274" s="2" t="b">
        <f t="shared" ca="1" si="142"/>
        <v>1</v>
      </c>
      <c r="F5274" s="2" cm="1">
        <f t="array" aca="1" ref="F5274" ca="1">IF(G5274&lt;&gt;"",INDIRECT("'"&amp;G5274&amp;"'!"&amp;H5274),"")</f>
        <v>0</v>
      </c>
      <c r="G5274" s="1582" t="s">
        <v>6961</v>
      </c>
      <c r="H5274" s="2" t="s">
        <v>5245</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6961</v>
      </c>
      <c r="H5275" s="2" t="s">
        <v>4432</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6961</v>
      </c>
      <c r="H5276" s="2" t="s">
        <v>5077</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6961</v>
      </c>
      <c r="H5277" s="2" t="s">
        <v>4434</v>
      </c>
    </row>
    <row r="5278" spans="1:11" x14ac:dyDescent="0.2">
      <c r="A5278">
        <v>5273</v>
      </c>
      <c r="B5278" s="7">
        <f>'EstRev 6-11'!D12</f>
        <v>410000</v>
      </c>
      <c r="C5278" s="3">
        <f t="shared" si="143"/>
        <v>-404727</v>
      </c>
      <c r="E5278" s="2" t="b">
        <f t="shared" ca="1" si="142"/>
        <v>1</v>
      </c>
      <c r="F5278" s="2" cm="1">
        <f t="array" aca="1" ref="F5278" ca="1">IF(G5278&lt;&gt;"",INDIRECT("'"&amp;G5278&amp;"'!"&amp;H5278),"")</f>
        <v>410000</v>
      </c>
      <c r="G5278" s="1582" t="s">
        <v>6961</v>
      </c>
      <c r="H5278" s="2" t="s">
        <v>4435</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6961</v>
      </c>
      <c r="H5279" s="2" t="s">
        <v>4570</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6961</v>
      </c>
      <c r="H5280" s="2" t="s">
        <v>4437</v>
      </c>
    </row>
    <row r="5281" spans="1:8" x14ac:dyDescent="0.2">
      <c r="A5281">
        <v>5276</v>
      </c>
      <c r="B5281" s="7">
        <f>'EstRev 6-11'!D16</f>
        <v>150000</v>
      </c>
      <c r="C5281" s="3">
        <f t="shared" si="143"/>
        <v>-144724</v>
      </c>
      <c r="E5281" s="2" t="b">
        <f t="shared" ca="1" si="142"/>
        <v>1</v>
      </c>
      <c r="F5281" s="2" cm="1">
        <f t="array" aca="1" ref="F5281" ca="1">IF(G5281&lt;&gt;"",INDIRECT("'"&amp;G5281&amp;"'!"&amp;H5281),"")</f>
        <v>150000</v>
      </c>
      <c r="G5281" s="1582" t="s">
        <v>6961</v>
      </c>
      <c r="H5281" s="2" t="s">
        <v>4438</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6961</v>
      </c>
      <c r="H5282" s="2" t="s">
        <v>4439</v>
      </c>
    </row>
    <row r="5283" spans="1:8" x14ac:dyDescent="0.2">
      <c r="A5283">
        <v>5278</v>
      </c>
      <c r="B5283" s="7">
        <f>'EstRev 6-11'!D18</f>
        <v>150000</v>
      </c>
      <c r="C5283" s="3">
        <f t="shared" si="143"/>
        <v>-144722</v>
      </c>
      <c r="E5283" s="2" t="b">
        <f t="shared" ca="1" si="142"/>
        <v>1</v>
      </c>
      <c r="F5283" s="2" cm="1">
        <f t="array" aca="1" ref="F5283" ca="1">IF(G5283&lt;&gt;"",INDIRECT("'"&amp;G5283&amp;"'!"&amp;H5283),"")</f>
        <v>150000</v>
      </c>
      <c r="G5283" s="1582" t="s">
        <v>6961</v>
      </c>
      <c r="H5283" s="2" t="s">
        <v>4412</v>
      </c>
    </row>
    <row r="5284" spans="1:8" x14ac:dyDescent="0.2">
      <c r="A5284">
        <v>5279</v>
      </c>
      <c r="B5284" s="7">
        <f>'EstRev 6-11'!D65</f>
        <v>18000</v>
      </c>
      <c r="C5284" s="3">
        <f t="shared" si="143"/>
        <v>-12721</v>
      </c>
      <c r="E5284" s="2" t="b">
        <f t="shared" ca="1" si="142"/>
        <v>1</v>
      </c>
      <c r="F5284" s="2" cm="1">
        <f t="array" aca="1" ref="F5284" ca="1">IF(G5284&lt;&gt;"",INDIRECT("'"&amp;G5284&amp;"'!"&amp;H5284),"")</f>
        <v>18000</v>
      </c>
      <c r="G5284" s="1582" t="s">
        <v>6961</v>
      </c>
      <c r="H5284" s="2" t="s">
        <v>4593</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6961</v>
      </c>
      <c r="H5285" s="2" t="s">
        <v>4594</v>
      </c>
    </row>
    <row r="5286" spans="1:8" x14ac:dyDescent="0.2">
      <c r="A5286">
        <v>5281</v>
      </c>
      <c r="B5286" s="7">
        <f>'EstRev 6-11'!D67</f>
        <v>18000</v>
      </c>
      <c r="C5286" s="3">
        <f t="shared" si="143"/>
        <v>-12719</v>
      </c>
      <c r="E5286" s="2" t="b">
        <f t="shared" ca="1" si="142"/>
        <v>1</v>
      </c>
      <c r="F5286" s="2" cm="1">
        <f t="array" aca="1" ref="F5286" ca="1">IF(G5286&lt;&gt;"",INDIRECT("'"&amp;G5286&amp;"'!"&amp;H5286),"")</f>
        <v>18000</v>
      </c>
      <c r="G5286" s="1582" t="s">
        <v>6961</v>
      </c>
      <c r="H5286" s="2" t="s">
        <v>4595</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6961</v>
      </c>
      <c r="H5287" s="2" t="s">
        <v>4604</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6961</v>
      </c>
      <c r="H5288" s="2" t="s">
        <v>5214</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6961</v>
      </c>
      <c r="H5289" s="2" t="s">
        <v>5215</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6961</v>
      </c>
      <c r="H5290" s="2" t="s">
        <v>5216</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6961</v>
      </c>
      <c r="H5291" s="2" t="s">
        <v>5054</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6961</v>
      </c>
      <c r="H5292" s="2" t="s">
        <v>5559</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6961</v>
      </c>
      <c r="H5293" s="2" t="s">
        <v>5560</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6961</v>
      </c>
      <c r="H5294" s="2" t="s">
        <v>5561</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6961</v>
      </c>
      <c r="H5295" s="2" t="s">
        <v>5562</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6961</v>
      </c>
      <c r="H5296" s="2" t="s">
        <v>5563</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6961</v>
      </c>
      <c r="H5297" s="2" t="s">
        <v>5564</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6961</v>
      </c>
      <c r="H5298" s="2" t="s">
        <v>5565</v>
      </c>
    </row>
    <row r="5299" spans="1:11" x14ac:dyDescent="0.2">
      <c r="A5299">
        <v>5294</v>
      </c>
      <c r="B5299" s="7">
        <f>'EstRev 6-11'!D110</f>
        <v>72781</v>
      </c>
      <c r="C5299" s="3">
        <f t="shared" si="143"/>
        <v>-67487</v>
      </c>
      <c r="E5299" s="2" t="b">
        <f t="shared" ca="1" si="142"/>
        <v>1</v>
      </c>
      <c r="F5299" s="2" cm="1">
        <f t="array" aca="1" ref="F5299" ca="1">IF(G5299&lt;&gt;"",INDIRECT("'"&amp;G5299&amp;"'!"&amp;H5299),"")</f>
        <v>72781</v>
      </c>
      <c r="G5299" s="1582" t="s">
        <v>6961</v>
      </c>
      <c r="H5299" s="2" t="s">
        <v>5566</v>
      </c>
    </row>
    <row r="5300" spans="1:11" x14ac:dyDescent="0.2">
      <c r="A5300">
        <v>5295</v>
      </c>
      <c r="B5300" s="7">
        <f>'EstRev 6-11'!D111</f>
        <v>650781</v>
      </c>
      <c r="C5300" s="3">
        <f t="shared" si="143"/>
        <v>-645486</v>
      </c>
      <c r="E5300" s="2" t="b">
        <f t="shared" ca="1" si="142"/>
        <v>1</v>
      </c>
      <c r="F5300" s="2" cm="1">
        <f t="array" aca="1" ref="F5300" ca="1">IF(G5300&lt;&gt;"",INDIRECT("'"&amp;G5300&amp;"'!"&amp;H5300),"")</f>
        <v>650781</v>
      </c>
      <c r="G5300" s="1582" t="s">
        <v>6961</v>
      </c>
      <c r="H5300" s="2" t="s">
        <v>5567</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6961</v>
      </c>
      <c r="H5301" s="2" t="s">
        <v>5568</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6961</v>
      </c>
      <c r="H5302" s="2" t="s">
        <v>5569</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6961</v>
      </c>
      <c r="H5303" s="2" t="s">
        <v>4605</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6961</v>
      </c>
      <c r="H5304" s="2" t="s">
        <v>5570</v>
      </c>
    </row>
    <row r="5305" spans="1:11" x14ac:dyDescent="0.2">
      <c r="A5305">
        <v>5300</v>
      </c>
      <c r="B5305" s="7">
        <f>'EstRev 6-11'!D120</f>
        <v>0</v>
      </c>
      <c r="C5305" s="3">
        <f t="shared" si="143"/>
        <v>5300</v>
      </c>
      <c r="E5305" s="2" t="b">
        <f t="shared" ca="1" si="142"/>
        <v>1</v>
      </c>
      <c r="F5305" s="2" cm="1">
        <f t="array" aca="1" ref="F5305" ca="1">IF(G5305&lt;&gt;"",INDIRECT("'"&amp;G5305&amp;"'!"&amp;H5305),"")</f>
        <v>0</v>
      </c>
      <c r="G5305" s="1582" t="s">
        <v>6961</v>
      </c>
      <c r="H5305" s="2" t="s">
        <v>5571</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6961</v>
      </c>
      <c r="H5306" s="2" t="s">
        <v>5572</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0</v>
      </c>
      <c r="C5311" s="3">
        <f t="shared" si="143"/>
        <v>5306</v>
      </c>
      <c r="E5311" s="2" t="b">
        <f t="shared" ca="1" si="142"/>
        <v>1</v>
      </c>
      <c r="F5311" s="2" cm="1">
        <f t="array" aca="1" ref="F5311" ca="1">IF(G5311&lt;&gt;"",INDIRECT("'"&amp;G5311&amp;"'!"&amp;H5311),"")</f>
        <v>0</v>
      </c>
      <c r="G5311" s="1582" t="s">
        <v>6961</v>
      </c>
      <c r="H5311" s="2" t="s">
        <v>5329</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6961</v>
      </c>
      <c r="H5312" s="2" t="s">
        <v>5249</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6961</v>
      </c>
      <c r="H5313" s="2" t="s">
        <v>5118</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6961</v>
      </c>
      <c r="H5314" s="2" t="s">
        <v>5573</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6961</v>
      </c>
      <c r="H5318" s="2" t="s">
        <v>5574</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6961</v>
      </c>
      <c r="H5319" s="2" t="s">
        <v>5575</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6961</v>
      </c>
      <c r="H5327" s="2" t="s">
        <v>5576</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6961</v>
      </c>
      <c r="H5328" s="2" t="s">
        <v>5577</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6961</v>
      </c>
      <c r="H5331" s="2" t="s">
        <v>5578</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6961</v>
      </c>
      <c r="H5335" s="2" t="s">
        <v>5579</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6961</v>
      </c>
      <c r="H5337" s="2" t="s">
        <v>4818</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6961</v>
      </c>
      <c r="H5338" s="2" t="s">
        <v>5580</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6961</v>
      </c>
      <c r="H5339" s="2" t="s">
        <v>5581</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6961</v>
      </c>
      <c r="H5345" s="2" t="s">
        <v>5582</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0</v>
      </c>
      <c r="C5356" s="3">
        <f t="shared" si="145"/>
        <v>5351</v>
      </c>
      <c r="E5356" s="2" t="b">
        <f t="shared" ca="1" si="144"/>
        <v>1</v>
      </c>
      <c r="F5356" s="2" cm="1">
        <f t="array" aca="1" ref="F5356" ca="1">IF(G5356&lt;&gt;"",INDIRECT("'"&amp;G5356&amp;"'!"&amp;H5356),"")</f>
        <v>0</v>
      </c>
      <c r="G5356" s="1582" t="s">
        <v>6961</v>
      </c>
      <c r="H5356" s="2" t="s">
        <v>5583</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0</v>
      </c>
      <c r="C5365" s="3">
        <f t="shared" si="145"/>
        <v>5360</v>
      </c>
      <c r="E5365" s="2" t="b">
        <f t="shared" ca="1" si="144"/>
        <v>1</v>
      </c>
      <c r="F5365" s="2" cm="1">
        <f t="array" aca="1" ref="F5365" ca="1">IF(G5365&lt;&gt;"",INDIRECT("'"&amp;G5365&amp;"'!"&amp;H5365),"")</f>
        <v>0</v>
      </c>
      <c r="G5365" s="1582" t="s">
        <v>6961</v>
      </c>
      <c r="H5365" s="2" t="s">
        <v>5584</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6961</v>
      </c>
      <c r="H5366" s="2" t="s">
        <v>5585</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6961</v>
      </c>
      <c r="H5367" s="2" t="s">
        <v>5586</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6961</v>
      </c>
      <c r="H5368" s="2" t="s">
        <v>5587</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6961</v>
      </c>
      <c r="H5369" s="2" t="s">
        <v>5588</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6961</v>
      </c>
      <c r="H5370" s="2" t="s">
        <v>4893</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6961</v>
      </c>
      <c r="H5375" s="2" t="s">
        <v>5589</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6961</v>
      </c>
      <c r="H5376" s="2" t="s">
        <v>5590</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6961</v>
      </c>
      <c r="H5383" s="2" t="s">
        <v>5591</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6961</v>
      </c>
      <c r="H5384" s="2" t="s">
        <v>5592</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6961</v>
      </c>
      <c r="H5388" s="2" t="s">
        <v>5593</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6961</v>
      </c>
      <c r="H5402" s="2" t="s">
        <v>4896</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6961</v>
      </c>
      <c r="H5403" s="2" t="s">
        <v>5594</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6961</v>
      </c>
      <c r="H5406" s="2" t="s">
        <v>5595</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6961</v>
      </c>
      <c r="H5407" s="2" t="s">
        <v>5596</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6961</v>
      </c>
      <c r="H5408" s="2" t="s">
        <v>5597</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6961</v>
      </c>
      <c r="H5414" s="2" t="s">
        <v>5598</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6961</v>
      </c>
      <c r="H5429" s="2" t="s">
        <v>5599</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6961</v>
      </c>
      <c r="H5432" s="2" t="s">
        <v>5600</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6961</v>
      </c>
      <c r="H5438" s="2" t="s">
        <v>4930</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6961</v>
      </c>
      <c r="H5440" s="2" t="s">
        <v>4952</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6961</v>
      </c>
      <c r="H5442" s="2" t="s">
        <v>4953</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0</v>
      </c>
      <c r="C5445" s="3">
        <f t="shared" si="147"/>
        <v>5440</v>
      </c>
      <c r="E5445" s="2" t="b">
        <f t="shared" ca="1" si="148"/>
        <v>1</v>
      </c>
      <c r="F5445" s="2" cm="1">
        <f t="array" aca="1" ref="F5445" ca="1">IF(G5445&lt;&gt;"",INDIRECT("'"&amp;G5445&amp;"'!"&amp;H5445),"")</f>
        <v>0</v>
      </c>
      <c r="G5445" s="1582" t="s">
        <v>6961</v>
      </c>
      <c r="H5445" s="2" t="s">
        <v>4961</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82" t="s">
        <v>6961</v>
      </c>
      <c r="H5451" s="2" t="s">
        <v>4962</v>
      </c>
    </row>
    <row r="5452" spans="1:11" x14ac:dyDescent="0.2">
      <c r="A5452">
        <v>5447</v>
      </c>
      <c r="B5452" s="7">
        <f>'EstRev 6-11'!D272</f>
        <v>650781</v>
      </c>
      <c r="C5452" s="3">
        <f t="shared" si="149"/>
        <v>-645334</v>
      </c>
      <c r="E5452" s="2" t="b">
        <f t="shared" ca="1" si="148"/>
        <v>1</v>
      </c>
      <c r="F5452" s="2" cm="1">
        <f t="array" aca="1" ref="F5452" ca="1">IF(G5452&lt;&gt;"",INDIRECT("'"&amp;G5452&amp;"'!"&amp;H5452),"")</f>
        <v>650781</v>
      </c>
      <c r="G5452" s="1582" t="s">
        <v>6961</v>
      </c>
      <c r="H5452" s="2" t="s">
        <v>4963</v>
      </c>
    </row>
    <row r="5453" spans="1:11" x14ac:dyDescent="0.2">
      <c r="A5453">
        <v>5448</v>
      </c>
      <c r="B5453" s="7">
        <f>'EstRev 6-11'!E5</f>
        <v>0</v>
      </c>
      <c r="C5453" s="3">
        <f t="shared" si="149"/>
        <v>5448</v>
      </c>
      <c r="E5453" s="2" t="b">
        <f t="shared" ca="1" si="148"/>
        <v>1</v>
      </c>
      <c r="F5453" s="2" cm="1">
        <f t="array" aca="1" ref="F5453" ca="1">IF(G5453&lt;&gt;"",INDIRECT("'"&amp;G5453&amp;"'!"&amp;H5453),"")</f>
        <v>0</v>
      </c>
      <c r="G5453" s="1582" t="s">
        <v>6961</v>
      </c>
      <c r="H5453" s="2" t="s">
        <v>4606</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6961</v>
      </c>
      <c r="H5455" s="2" t="s">
        <v>5087</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6961</v>
      </c>
      <c r="H5456" s="2" t="s">
        <v>4445</v>
      </c>
    </row>
    <row r="5457" spans="1:8" x14ac:dyDescent="0.2">
      <c r="A5457">
        <v>5452</v>
      </c>
      <c r="B5457" s="7">
        <f>'EstRev 6-11'!E12</f>
        <v>0</v>
      </c>
      <c r="C5457" s="3">
        <f t="shared" si="149"/>
        <v>5452</v>
      </c>
      <c r="E5457" s="2" t="b">
        <f t="shared" ca="1" si="148"/>
        <v>1</v>
      </c>
      <c r="F5457" s="2" cm="1">
        <f t="array" aca="1" ref="F5457" ca="1">IF(G5457&lt;&gt;"",INDIRECT("'"&amp;G5457&amp;"'!"&amp;H5457),"")</f>
        <v>0</v>
      </c>
      <c r="G5457" s="1582" t="s">
        <v>6961</v>
      </c>
      <c r="H5457" s="2" t="s">
        <v>4446</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6961</v>
      </c>
      <c r="H5458" s="2" t="s">
        <v>4607</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6961</v>
      </c>
      <c r="H5459" s="2" t="s">
        <v>4608</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6961</v>
      </c>
      <c r="H5460" s="2" t="s">
        <v>4448</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6961</v>
      </c>
      <c r="H5461" s="2" t="s">
        <v>5088</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6961</v>
      </c>
      <c r="H5462" s="2" t="s">
        <v>4413</v>
      </c>
    </row>
    <row r="5463" spans="1:8" x14ac:dyDescent="0.2">
      <c r="A5463">
        <v>5458</v>
      </c>
      <c r="B5463" s="7">
        <f>'EstRev 6-11'!E65</f>
        <v>0</v>
      </c>
      <c r="C5463" s="3">
        <f t="shared" si="149"/>
        <v>5458</v>
      </c>
      <c r="E5463" s="2" t="b">
        <f t="shared" ca="1" si="148"/>
        <v>1</v>
      </c>
      <c r="F5463" s="2" cm="1">
        <f t="array" aca="1" ref="F5463" ca="1">IF(G5463&lt;&gt;"",INDIRECT("'"&amp;G5463&amp;"'!"&amp;H5463),"")</f>
        <v>0</v>
      </c>
      <c r="G5463" s="1582" t="s">
        <v>6961</v>
      </c>
      <c r="H5463" s="2" t="s">
        <v>4631</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6961</v>
      </c>
      <c r="H5464" s="2" t="s">
        <v>4632</v>
      </c>
    </row>
    <row r="5465" spans="1:8" x14ac:dyDescent="0.2">
      <c r="A5465">
        <v>5460</v>
      </c>
      <c r="B5465" s="7">
        <f>'EstRev 6-11'!E67</f>
        <v>0</v>
      </c>
      <c r="C5465" s="3">
        <f t="shared" si="149"/>
        <v>5460</v>
      </c>
      <c r="E5465" s="2" t="b">
        <f t="shared" ca="1" si="148"/>
        <v>1</v>
      </c>
      <c r="F5465" s="2" cm="1">
        <f t="array" aca="1" ref="F5465" ca="1">IF(G5465&lt;&gt;"",INDIRECT("'"&amp;G5465&amp;"'!"&amp;H5465),"")</f>
        <v>0</v>
      </c>
      <c r="G5465" s="1582" t="s">
        <v>6961</v>
      </c>
      <c r="H5465" s="2" t="s">
        <v>4633</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6961</v>
      </c>
      <c r="H5466" s="2" t="s">
        <v>5601</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6961</v>
      </c>
      <c r="H5467" s="2" t="s">
        <v>5602</v>
      </c>
    </row>
    <row r="5468" spans="1:8" x14ac:dyDescent="0.2">
      <c r="A5468">
        <v>5463</v>
      </c>
      <c r="B5468" s="7">
        <f>'EstRev 6-11'!E106</f>
        <v>0</v>
      </c>
      <c r="C5468" s="3">
        <f t="shared" si="149"/>
        <v>5463</v>
      </c>
      <c r="E5468" s="2" t="b">
        <f t="shared" ca="1" si="148"/>
        <v>1</v>
      </c>
      <c r="F5468" s="2" cm="1">
        <f t="array" aca="1" ref="F5468" ca="1">IF(G5468&lt;&gt;"",INDIRECT("'"&amp;G5468&amp;"'!"&amp;H5468),"")</f>
        <v>0</v>
      </c>
      <c r="G5468" s="1582" t="s">
        <v>6961</v>
      </c>
      <c r="H5468" s="2" t="s">
        <v>5603</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6961</v>
      </c>
      <c r="H5469" s="2" t="s">
        <v>5604</v>
      </c>
    </row>
    <row r="5470" spans="1:8" x14ac:dyDescent="0.2">
      <c r="A5470">
        <v>5465</v>
      </c>
      <c r="B5470" s="7">
        <f>'EstRev 6-11'!E110</f>
        <v>0</v>
      </c>
      <c r="C5470" s="3">
        <f t="shared" si="149"/>
        <v>5465</v>
      </c>
      <c r="E5470" s="2" t="b">
        <f t="shared" ca="1" si="148"/>
        <v>1</v>
      </c>
      <c r="F5470" s="2" cm="1">
        <f t="array" aca="1" ref="F5470" ca="1">IF(G5470&lt;&gt;"",INDIRECT("'"&amp;G5470&amp;"'!"&amp;H5470),"")</f>
        <v>0</v>
      </c>
      <c r="G5470" s="1582" t="s">
        <v>6961</v>
      </c>
      <c r="H5470" s="2" t="s">
        <v>5605</v>
      </c>
    </row>
    <row r="5471" spans="1:8" x14ac:dyDescent="0.2">
      <c r="A5471">
        <v>5466</v>
      </c>
      <c r="B5471" s="7">
        <f>'EstRev 6-11'!E111</f>
        <v>0</v>
      </c>
      <c r="C5471" s="3">
        <f t="shared" si="149"/>
        <v>5466</v>
      </c>
      <c r="E5471" s="2" t="b">
        <f t="shared" ca="1" si="148"/>
        <v>1</v>
      </c>
      <c r="F5471" s="2" cm="1">
        <f t="array" aca="1" ref="F5471" ca="1">IF(G5471&lt;&gt;"",INDIRECT("'"&amp;G5471&amp;"'!"&amp;H5471),"")</f>
        <v>0</v>
      </c>
      <c r="G5471" s="1582" t="s">
        <v>6961</v>
      </c>
      <c r="H5471" s="2" t="s">
        <v>5606</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6961</v>
      </c>
      <c r="H5472" s="2" t="s">
        <v>5607</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6961</v>
      </c>
      <c r="H5473" s="2" t="s">
        <v>5608</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6961</v>
      </c>
      <c r="H5478" s="2" t="s">
        <v>5330</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6961</v>
      </c>
      <c r="H5481" s="2" t="s">
        <v>5609</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6961</v>
      </c>
      <c r="H5488" s="2" t="s">
        <v>5610</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0</v>
      </c>
      <c r="C5496" s="3">
        <f t="shared" si="149"/>
        <v>5491</v>
      </c>
      <c r="E5496" s="2" t="b">
        <f t="shared" ca="1" si="148"/>
        <v>1</v>
      </c>
      <c r="F5496" s="2" cm="1">
        <f t="array" aca="1" ref="F5496" ca="1">IF(G5496&lt;&gt;"",INDIRECT("'"&amp;G5496&amp;"'!"&amp;H5496),"")</f>
        <v>0</v>
      </c>
      <c r="G5496" s="1582" t="s">
        <v>6961</v>
      </c>
      <c r="H5496" s="2" t="s">
        <v>5611</v>
      </c>
    </row>
    <row r="5497" spans="1:11" x14ac:dyDescent="0.2">
      <c r="A5497">
        <v>5492</v>
      </c>
      <c r="B5497" s="7">
        <f>'EstRev 6-11'!F5</f>
        <v>150000</v>
      </c>
      <c r="C5497" s="3">
        <f t="shared" si="149"/>
        <v>-144508</v>
      </c>
      <c r="E5497" s="2" t="b">
        <f t="shared" ca="1" si="148"/>
        <v>1</v>
      </c>
      <c r="F5497" s="2" cm="1">
        <f t="array" aca="1" ref="F5497" ca="1">IF(G5497&lt;&gt;"",INDIRECT("'"&amp;G5497&amp;"'!"&amp;H5497),"")</f>
        <v>150000</v>
      </c>
      <c r="G5497" s="1582" t="s">
        <v>6961</v>
      </c>
      <c r="H5497" s="2" t="s">
        <v>4644</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6961</v>
      </c>
      <c r="H5499" s="2" t="s">
        <v>4454</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6961</v>
      </c>
      <c r="H5500" s="2" t="s">
        <v>4456</v>
      </c>
    </row>
    <row r="5501" spans="1:11" x14ac:dyDescent="0.2">
      <c r="A5501">
        <v>5496</v>
      </c>
      <c r="B5501" s="7">
        <f>'EstRev 6-11'!F12</f>
        <v>150000</v>
      </c>
      <c r="C5501" s="3">
        <f t="shared" si="149"/>
        <v>-144504</v>
      </c>
      <c r="E5501" s="2" t="b">
        <f t="shared" ca="1" si="148"/>
        <v>1</v>
      </c>
      <c r="F5501" s="2" cm="1">
        <f t="array" aca="1" ref="F5501" ca="1">IF(G5501&lt;&gt;"",INDIRECT("'"&amp;G5501&amp;"'!"&amp;H5501),"")</f>
        <v>150000</v>
      </c>
      <c r="G5501" s="1582" t="s">
        <v>6961</v>
      </c>
      <c r="H5501" s="2" t="s">
        <v>4457</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6961</v>
      </c>
      <c r="H5502" s="2" t="s">
        <v>4645</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6961</v>
      </c>
      <c r="H5503" s="2" t="s">
        <v>4459</v>
      </c>
    </row>
    <row r="5504" spans="1:11" x14ac:dyDescent="0.2">
      <c r="A5504">
        <v>5499</v>
      </c>
      <c r="B5504" s="7">
        <f>'EstRev 6-11'!F16</f>
        <v>55000</v>
      </c>
      <c r="C5504" s="3">
        <f t="shared" si="149"/>
        <v>-49501</v>
      </c>
      <c r="E5504" s="2" t="b">
        <f t="shared" ca="1" si="148"/>
        <v>1</v>
      </c>
      <c r="F5504" s="2" cm="1">
        <f t="array" aca="1" ref="F5504" ca="1">IF(G5504&lt;&gt;"",INDIRECT("'"&amp;G5504&amp;"'!"&amp;H5504),"")</f>
        <v>55000</v>
      </c>
      <c r="G5504" s="1582" t="s">
        <v>6961</v>
      </c>
      <c r="H5504" s="2" t="s">
        <v>4460</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6961</v>
      </c>
      <c r="H5505" s="2" t="s">
        <v>4461</v>
      </c>
    </row>
    <row r="5506" spans="1:8" x14ac:dyDescent="0.2">
      <c r="A5506">
        <v>5501</v>
      </c>
      <c r="B5506" s="7">
        <f>'EstRev 6-11'!F18</f>
        <v>55000</v>
      </c>
      <c r="C5506" s="3">
        <f t="shared" si="149"/>
        <v>-49499</v>
      </c>
      <c r="E5506" s="2" t="b">
        <f t="shared" ref="E5506:E5569" ca="1" si="150">F5506=B5506</f>
        <v>1</v>
      </c>
      <c r="F5506" s="2" cm="1">
        <f t="array" aca="1" ref="F5506" ca="1">IF(G5506&lt;&gt;"",INDIRECT("'"&amp;G5506&amp;"'!"&amp;H5506),"")</f>
        <v>55000</v>
      </c>
      <c r="G5506" s="1582" t="s">
        <v>6961</v>
      </c>
      <c r="H5506" s="2" t="s">
        <v>4414</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6961</v>
      </c>
      <c r="H5507" s="2" t="s">
        <v>4651</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6961</v>
      </c>
      <c r="H5508" s="2" t="s">
        <v>4652</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6961</v>
      </c>
      <c r="H5509" s="2" t="s">
        <v>4653</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6961</v>
      </c>
      <c r="H5510" s="2" t="s">
        <v>5217</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6961</v>
      </c>
      <c r="H5511" s="2" t="s">
        <v>4655</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6961</v>
      </c>
      <c r="H5512" s="2" t="s">
        <v>4656</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6961</v>
      </c>
      <c r="H5513" s="2" t="s">
        <v>4657</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6961</v>
      </c>
      <c r="H5514" s="2" t="s">
        <v>4658</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6961</v>
      </c>
      <c r="H5515" s="2" t="s">
        <v>4659</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6961</v>
      </c>
      <c r="H5516" s="2" t="s">
        <v>5097</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6961</v>
      </c>
      <c r="H5517" s="2" t="s">
        <v>4660</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6961</v>
      </c>
      <c r="H5518" s="2" t="s">
        <v>5612</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6961</v>
      </c>
      <c r="H5519" s="2" t="s">
        <v>4661</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6961</v>
      </c>
      <c r="H5520" s="2" t="s">
        <v>4663</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6961</v>
      </c>
      <c r="H5521" s="2" t="s">
        <v>5613</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6961</v>
      </c>
      <c r="H5522" s="2" t="s">
        <v>4664</v>
      </c>
    </row>
    <row r="5523" spans="1:8" x14ac:dyDescent="0.2">
      <c r="A5523">
        <v>5518</v>
      </c>
      <c r="B5523" s="7">
        <f>'EstRev 6-11'!F63</f>
        <v>0</v>
      </c>
      <c r="C5523" s="3">
        <f t="shared" si="151"/>
        <v>5518</v>
      </c>
      <c r="E5523" s="2" t="b">
        <f t="shared" ca="1" si="150"/>
        <v>1</v>
      </c>
      <c r="F5523" s="2" cm="1">
        <f t="array" aca="1" ref="F5523" ca="1">IF(G5523&lt;&gt;"",INDIRECT("'"&amp;G5523&amp;"'!"&amp;H5523),"")</f>
        <v>0</v>
      </c>
      <c r="G5523" s="1582" t="s">
        <v>6961</v>
      </c>
      <c r="H5523" s="2" t="s">
        <v>4666</v>
      </c>
    </row>
    <row r="5524" spans="1:8" x14ac:dyDescent="0.2">
      <c r="A5524">
        <v>5519</v>
      </c>
      <c r="B5524" s="7">
        <f>'EstRev 6-11'!F65</f>
        <v>3000</v>
      </c>
      <c r="C5524" s="3">
        <f t="shared" si="151"/>
        <v>2519</v>
      </c>
      <c r="E5524" s="2" t="b">
        <f t="shared" ca="1" si="150"/>
        <v>1</v>
      </c>
      <c r="F5524" s="2" cm="1">
        <f t="array" aca="1" ref="F5524" ca="1">IF(G5524&lt;&gt;"",INDIRECT("'"&amp;G5524&amp;"'!"&amp;H5524),"")</f>
        <v>3000</v>
      </c>
      <c r="G5524" s="1582" t="s">
        <v>6961</v>
      </c>
      <c r="H5524" s="2" t="s">
        <v>4668</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6961</v>
      </c>
      <c r="H5525" s="2" t="s">
        <v>4669</v>
      </c>
    </row>
    <row r="5526" spans="1:8" x14ac:dyDescent="0.2">
      <c r="A5526">
        <v>5521</v>
      </c>
      <c r="B5526" s="7">
        <f>'EstRev 6-11'!F67</f>
        <v>3000</v>
      </c>
      <c r="C5526" s="3">
        <f t="shared" si="151"/>
        <v>2521</v>
      </c>
      <c r="E5526" s="2" t="b">
        <f t="shared" ca="1" si="150"/>
        <v>1</v>
      </c>
      <c r="F5526" s="2" cm="1">
        <f t="array" aca="1" ref="F5526" ca="1">IF(G5526&lt;&gt;"",INDIRECT("'"&amp;G5526&amp;"'!"&amp;H5526),"")</f>
        <v>3000</v>
      </c>
      <c r="G5526" s="1582" t="s">
        <v>6961</v>
      </c>
      <c r="H5526" s="2" t="s">
        <v>4670</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6961</v>
      </c>
      <c r="H5527" s="2" t="s">
        <v>5614</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6961</v>
      </c>
      <c r="H5528" s="2" t="s">
        <v>5615</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6961</v>
      </c>
      <c r="H5529" s="2" t="s">
        <v>5616</v>
      </c>
    </row>
    <row r="5530" spans="1:8" x14ac:dyDescent="0.2">
      <c r="A5530">
        <v>5525</v>
      </c>
      <c r="B5530" s="7">
        <f>'EstRev 6-11'!F109</f>
        <v>0</v>
      </c>
      <c r="C5530" s="3">
        <f t="shared" si="151"/>
        <v>5525</v>
      </c>
      <c r="E5530" s="2" t="b">
        <f t="shared" ca="1" si="150"/>
        <v>1</v>
      </c>
      <c r="F5530" s="2" cm="1">
        <f t="array" aca="1" ref="F5530" ca="1">IF(G5530&lt;&gt;"",INDIRECT("'"&amp;G5530&amp;"'!"&amp;H5530),"")</f>
        <v>0</v>
      </c>
      <c r="G5530" s="1582" t="s">
        <v>6961</v>
      </c>
      <c r="H5530" s="2" t="s">
        <v>5617</v>
      </c>
    </row>
    <row r="5531" spans="1:8" x14ac:dyDescent="0.2">
      <c r="A5531">
        <v>5526</v>
      </c>
      <c r="B5531" s="7">
        <f>'EstRev 6-11'!F110</f>
        <v>0</v>
      </c>
      <c r="C5531" s="3">
        <f t="shared" si="151"/>
        <v>5526</v>
      </c>
      <c r="E5531" s="2" t="b">
        <f t="shared" ca="1" si="150"/>
        <v>1</v>
      </c>
      <c r="F5531" s="2" cm="1">
        <f t="array" aca="1" ref="F5531" ca="1">IF(G5531&lt;&gt;"",INDIRECT("'"&amp;G5531&amp;"'!"&amp;H5531),"")</f>
        <v>0</v>
      </c>
      <c r="G5531" s="1582" t="s">
        <v>6961</v>
      </c>
      <c r="H5531" s="2" t="s">
        <v>5618</v>
      </c>
    </row>
    <row r="5532" spans="1:8" x14ac:dyDescent="0.2">
      <c r="A5532">
        <v>5527</v>
      </c>
      <c r="B5532" s="7">
        <f>'EstRev 6-11'!F111</f>
        <v>208000</v>
      </c>
      <c r="C5532" s="3">
        <f t="shared" si="151"/>
        <v>-202473</v>
      </c>
      <c r="E5532" s="2" t="b">
        <f t="shared" ca="1" si="150"/>
        <v>1</v>
      </c>
      <c r="F5532" s="2" cm="1">
        <f t="array" aca="1" ref="F5532" ca="1">IF(G5532&lt;&gt;"",INDIRECT("'"&amp;G5532&amp;"'!"&amp;H5532),"")</f>
        <v>208000</v>
      </c>
      <c r="G5532" s="1582" t="s">
        <v>6961</v>
      </c>
      <c r="H5532" s="2" t="s">
        <v>5619</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6961</v>
      </c>
      <c r="H5533" s="2" t="s">
        <v>5620</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6961</v>
      </c>
      <c r="H5534" s="2" t="s">
        <v>5621</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6961</v>
      </c>
      <c r="H5535" s="2" t="s">
        <v>4680</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6961</v>
      </c>
      <c r="H5536" s="2" t="s">
        <v>5622</v>
      </c>
    </row>
    <row r="5537" spans="1:11" x14ac:dyDescent="0.2">
      <c r="A5537">
        <v>5532</v>
      </c>
      <c r="B5537" s="7">
        <f>'EstRev 6-11'!F120</f>
        <v>0</v>
      </c>
      <c r="C5537" s="3">
        <f t="shared" si="151"/>
        <v>5532</v>
      </c>
      <c r="E5537" s="2" t="b">
        <f t="shared" ca="1" si="150"/>
        <v>1</v>
      </c>
      <c r="F5537" s="2" cm="1">
        <f t="array" aca="1" ref="F5537" ca="1">IF(G5537&lt;&gt;"",INDIRECT("'"&amp;G5537&amp;"'!"&amp;H5537),"")</f>
        <v>0</v>
      </c>
      <c r="G5537" s="1582" t="s">
        <v>6961</v>
      </c>
      <c r="H5537" s="2" t="s">
        <v>5623</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6961</v>
      </c>
      <c r="H5538" s="2" t="s">
        <v>5624</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0</v>
      </c>
      <c r="C5543" s="3">
        <f t="shared" si="151"/>
        <v>5538</v>
      </c>
      <c r="E5543" s="2" t="b">
        <f t="shared" ca="1" si="150"/>
        <v>1</v>
      </c>
      <c r="F5543" s="2" cm="1">
        <f t="array" aca="1" ref="F5543" ca="1">IF(G5543&lt;&gt;"",INDIRECT("'"&amp;G5543&amp;"'!"&amp;H5543),"")</f>
        <v>0</v>
      </c>
      <c r="G5543" s="1582" t="s">
        <v>6961</v>
      </c>
      <c r="H5543" s="2" t="s">
        <v>5331</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6961</v>
      </c>
      <c r="H5544" s="2" t="s">
        <v>4827</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6961</v>
      </c>
      <c r="H5545" s="2" t="s">
        <v>4828</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6961</v>
      </c>
      <c r="H5546" s="2" t="s">
        <v>5251</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6961</v>
      </c>
      <c r="H5548" s="2" t="s">
        <v>5625</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6961</v>
      </c>
      <c r="H5550" s="2" t="s">
        <v>4829</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6961</v>
      </c>
      <c r="H5553" s="2" t="s">
        <v>4830</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6961</v>
      </c>
      <c r="H5558" s="2" t="s">
        <v>5120</v>
      </c>
    </row>
    <row r="5559" spans="1:11" x14ac:dyDescent="0.2">
      <c r="A5559">
        <v>5554</v>
      </c>
      <c r="B5559" s="7">
        <f>'EstRev 6-11'!F154</f>
        <v>83000</v>
      </c>
      <c r="C5559" s="3">
        <f t="shared" si="151"/>
        <v>-77446</v>
      </c>
      <c r="E5559" s="2" t="b">
        <f t="shared" ca="1" si="150"/>
        <v>1</v>
      </c>
      <c r="F5559" s="2" cm="1">
        <f t="array" aca="1" ref="F5559" ca="1">IF(G5559&lt;&gt;"",INDIRECT("'"&amp;G5559&amp;"'!"&amp;H5559),"")</f>
        <v>83000</v>
      </c>
      <c r="G5559" s="1582" t="s">
        <v>6961</v>
      </c>
      <c r="H5559" s="2" t="s">
        <v>5626</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22000</v>
      </c>
      <c r="C5561" s="3">
        <f t="shared" si="151"/>
        <v>-16444</v>
      </c>
      <c r="E5561" s="2" t="b">
        <f t="shared" ca="1" si="150"/>
        <v>1</v>
      </c>
      <c r="F5561" s="2" cm="1">
        <f t="array" aca="1" ref="F5561" ca="1">IF(G5561&lt;&gt;"",INDIRECT("'"&amp;G5561&amp;"'!"&amp;H5561),"")</f>
        <v>22000</v>
      </c>
      <c r="G5561" s="1582" t="s">
        <v>6961</v>
      </c>
      <c r="H5561" s="2" t="s">
        <v>4832</v>
      </c>
    </row>
    <row r="5562" spans="1:11" x14ac:dyDescent="0.2">
      <c r="A5562">
        <v>5557</v>
      </c>
      <c r="B5562" s="7">
        <f>'EstRev 6-11'!F157</f>
        <v>105000</v>
      </c>
      <c r="C5562" s="3">
        <f t="shared" si="151"/>
        <v>-99443</v>
      </c>
      <c r="E5562" s="2" t="b">
        <f t="shared" ca="1" si="150"/>
        <v>1</v>
      </c>
      <c r="F5562" s="2" cm="1">
        <f t="array" aca="1" ref="F5562" ca="1">IF(G5562&lt;&gt;"",INDIRECT("'"&amp;G5562&amp;"'!"&amp;H5562),"")</f>
        <v>105000</v>
      </c>
      <c r="G5562" s="1582" t="s">
        <v>6961</v>
      </c>
      <c r="H5562" s="2" t="s">
        <v>5627</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6961</v>
      </c>
      <c r="H5563" s="2" t="s">
        <v>5628</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6961</v>
      </c>
      <c r="H5569" s="2" t="s">
        <v>5629</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0</v>
      </c>
      <c r="C5571" s="3">
        <f t="shared" si="151"/>
        <v>5566</v>
      </c>
      <c r="E5571" s="2" t="b">
        <f t="shared" ca="1" si="152"/>
        <v>1</v>
      </c>
      <c r="F5571" s="2" cm="1">
        <f t="array" aca="1" ref="F5571" ca="1">IF(G5571&lt;&gt;"",INDIRECT("'"&amp;G5571&amp;"'!"&amp;H5571),"")</f>
        <v>0</v>
      </c>
      <c r="G5571" s="1582" t="s">
        <v>6961</v>
      </c>
      <c r="H5571" s="2" t="s">
        <v>5630</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105000</v>
      </c>
      <c r="C5588" s="3">
        <f t="shared" ref="C5588:C5639" si="153">A5588-B5588</f>
        <v>-99417</v>
      </c>
      <c r="E5588" s="2" t="b">
        <f t="shared" ca="1" si="152"/>
        <v>1</v>
      </c>
      <c r="F5588" s="2" cm="1">
        <f t="array" aca="1" ref="F5588" ca="1">IF(G5588&lt;&gt;"",INDIRECT("'"&amp;G5588&amp;"'!"&amp;H5588),"")</f>
        <v>105000</v>
      </c>
      <c r="G5588" s="1582" t="s">
        <v>6961</v>
      </c>
      <c r="H5588" s="2" t="s">
        <v>5631</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105000</v>
      </c>
      <c r="C5597" s="3">
        <f t="shared" si="153"/>
        <v>-99408</v>
      </c>
      <c r="E5597" s="2" t="b">
        <f t="shared" ca="1" si="152"/>
        <v>1</v>
      </c>
      <c r="F5597" s="2" cm="1">
        <f t="array" aca="1" ref="F5597" ca="1">IF(G5597&lt;&gt;"",INDIRECT("'"&amp;G5597&amp;"'!"&amp;H5597),"")</f>
        <v>105000</v>
      </c>
      <c r="G5597" s="1582" t="s">
        <v>6961</v>
      </c>
      <c r="H5597" s="2" t="s">
        <v>5632</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6961</v>
      </c>
      <c r="H5598" s="2" t="s">
        <v>5633</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6961</v>
      </c>
      <c r="H5599" s="2" t="s">
        <v>5634</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6961</v>
      </c>
      <c r="H5602" s="2" t="s">
        <v>5635</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6961</v>
      </c>
      <c r="H5603" s="2" t="s">
        <v>4902</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6961</v>
      </c>
      <c r="H5608" s="2" t="s">
        <v>5636</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6961</v>
      </c>
      <c r="H5609" s="2" t="s">
        <v>5637</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6961</v>
      </c>
      <c r="H5616" s="2" t="s">
        <v>5638</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6961</v>
      </c>
      <c r="H5617" s="2" t="s">
        <v>5639</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6961</v>
      </c>
      <c r="H5621" s="2" t="s">
        <v>5640</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6961</v>
      </c>
      <c r="H5635" s="2" t="s">
        <v>4905</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6961</v>
      </c>
      <c r="H5636" s="2" t="s">
        <v>5641</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6961</v>
      </c>
      <c r="H5639" s="2" t="s">
        <v>5642</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6961</v>
      </c>
      <c r="H5640" s="2" t="s">
        <v>5643</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6961</v>
      </c>
      <c r="H5641" s="2" t="s">
        <v>5644</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6961</v>
      </c>
      <c r="H5647" s="2" t="s">
        <v>5645</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6961</v>
      </c>
      <c r="H5649" s="2" t="s">
        <v>5646</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6961</v>
      </c>
      <c r="H5652" s="2" t="s">
        <v>5647</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6961</v>
      </c>
      <c r="H5654" s="2" t="s">
        <v>5648</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6961</v>
      </c>
      <c r="H5657" s="2" t="s">
        <v>5649</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6961</v>
      </c>
      <c r="H5663" s="2" t="s">
        <v>5650</v>
      </c>
    </row>
    <row r="5664" spans="1:11" x14ac:dyDescent="0.2">
      <c r="A5664">
        <v>5659</v>
      </c>
      <c r="B5664" s="7">
        <f>'EstRev 6-11'!F272</f>
        <v>313000</v>
      </c>
      <c r="C5664" s="3">
        <f t="shared" si="155"/>
        <v>-307341</v>
      </c>
      <c r="E5664" s="2" t="b">
        <f t="shared" ca="1" si="154"/>
        <v>1</v>
      </c>
      <c r="F5664" s="2" cm="1">
        <f t="array" aca="1" ref="F5664" ca="1">IF(G5664&lt;&gt;"",INDIRECT("'"&amp;G5664&amp;"'!"&amp;H5664),"")</f>
        <v>313000</v>
      </c>
      <c r="G5664" s="1582" t="s">
        <v>6961</v>
      </c>
      <c r="H5664" s="2" t="s">
        <v>5651</v>
      </c>
    </row>
    <row r="5665" spans="1:8" x14ac:dyDescent="0.2">
      <c r="A5665">
        <v>5660</v>
      </c>
      <c r="B5665" s="7">
        <f>'EstRev 6-11'!G5</f>
        <v>62000</v>
      </c>
      <c r="C5665" s="3">
        <f t="shared" si="155"/>
        <v>-56340</v>
      </c>
      <c r="E5665" s="2" t="b">
        <f t="shared" ca="1" si="154"/>
        <v>1</v>
      </c>
      <c r="F5665" s="2" cm="1">
        <f t="array" aca="1" ref="F5665" ca="1">IF(G5665&lt;&gt;"",INDIRECT("'"&amp;G5665&amp;"'!"&amp;H5665),"")</f>
        <v>62000</v>
      </c>
      <c r="G5665" s="1582" t="s">
        <v>6961</v>
      </c>
      <c r="H5665" s="2" t="s">
        <v>4681</v>
      </c>
    </row>
    <row r="5666" spans="1:8" x14ac:dyDescent="0.2">
      <c r="A5666">
        <v>5661</v>
      </c>
      <c r="B5666" s="7">
        <f>'EstRev 6-11'!G7</f>
        <v>0</v>
      </c>
      <c r="C5666" s="3">
        <f t="shared" si="155"/>
        <v>5661</v>
      </c>
      <c r="E5666" s="2" t="b">
        <f t="shared" ca="1" si="154"/>
        <v>1</v>
      </c>
      <c r="F5666" s="2" cm="1">
        <f t="array" aca="1" ref="F5666" ca="1">IF(G5666&lt;&gt;"",INDIRECT("'"&amp;G5666&amp;"'!"&amp;H5666),"")</f>
        <v>0</v>
      </c>
      <c r="G5666" s="1582" t="s">
        <v>6961</v>
      </c>
      <c r="H5666" s="2" t="s">
        <v>5082</v>
      </c>
    </row>
    <row r="5667" spans="1:8" x14ac:dyDescent="0.2">
      <c r="A5667">
        <v>5662</v>
      </c>
      <c r="B5667" s="7">
        <f>'EstRev 6-11'!G8</f>
        <v>64000</v>
      </c>
      <c r="C5667" s="3">
        <f t="shared" si="155"/>
        <v>-58338</v>
      </c>
      <c r="E5667" s="2" t="b">
        <f t="shared" ca="1" si="154"/>
        <v>1</v>
      </c>
      <c r="F5667" s="2" cm="1">
        <f t="array" aca="1" ref="F5667" ca="1">IF(G5667&lt;&gt;"",INDIRECT("'"&amp;G5667&amp;"'!"&amp;H5667),"")</f>
        <v>64000</v>
      </c>
      <c r="G5667" s="1582" t="s">
        <v>6961</v>
      </c>
      <c r="H5667" s="2" t="s">
        <v>5083</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6961</v>
      </c>
      <c r="H5668" s="2" t="s">
        <v>4467</v>
      </c>
    </row>
    <row r="5669" spans="1:8" x14ac:dyDescent="0.2">
      <c r="A5669">
        <v>5664</v>
      </c>
      <c r="B5669" s="7">
        <f>'EstRev 6-11'!G12</f>
        <v>126000</v>
      </c>
      <c r="C5669" s="3">
        <f t="shared" si="155"/>
        <v>-120336</v>
      </c>
      <c r="E5669" s="2" t="b">
        <f t="shared" ca="1" si="154"/>
        <v>1</v>
      </c>
      <c r="F5669" s="2" cm="1">
        <f t="array" aca="1" ref="F5669" ca="1">IF(G5669&lt;&gt;"",INDIRECT("'"&amp;G5669&amp;"'!"&amp;H5669),"")</f>
        <v>126000</v>
      </c>
      <c r="G5669" s="1582" t="s">
        <v>6961</v>
      </c>
      <c r="H5669" s="2" t="s">
        <v>4468</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6961</v>
      </c>
      <c r="H5670" s="2" t="s">
        <v>4682</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6961</v>
      </c>
      <c r="H5671" s="2" t="s">
        <v>4683</v>
      </c>
    </row>
    <row r="5672" spans="1:8" x14ac:dyDescent="0.2">
      <c r="A5672">
        <v>5667</v>
      </c>
      <c r="B5672" s="7">
        <f>'EstRev 6-11'!G16</f>
        <v>78000</v>
      </c>
      <c r="C5672" s="3">
        <f t="shared" si="155"/>
        <v>-72333</v>
      </c>
      <c r="E5672" s="2" t="b">
        <f t="shared" ca="1" si="154"/>
        <v>1</v>
      </c>
      <c r="F5672" s="2" cm="1">
        <f t="array" aca="1" ref="F5672" ca="1">IF(G5672&lt;&gt;"",INDIRECT("'"&amp;G5672&amp;"'!"&amp;H5672),"")</f>
        <v>78000</v>
      </c>
      <c r="G5672" s="1582" t="s">
        <v>6961</v>
      </c>
      <c r="H5672" s="2" t="s">
        <v>4470</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6961</v>
      </c>
      <c r="H5673" s="2" t="s">
        <v>4471</v>
      </c>
    </row>
    <row r="5674" spans="1:8" x14ac:dyDescent="0.2">
      <c r="A5674">
        <v>5669</v>
      </c>
      <c r="B5674" s="7">
        <f>'EstRev 6-11'!G18</f>
        <v>78000</v>
      </c>
      <c r="C5674" s="3">
        <f t="shared" si="155"/>
        <v>-72331</v>
      </c>
      <c r="E5674" s="2" t="b">
        <f t="shared" ca="1" si="154"/>
        <v>1</v>
      </c>
      <c r="F5674" s="2" cm="1">
        <f t="array" aca="1" ref="F5674" ca="1">IF(G5674&lt;&gt;"",INDIRECT("'"&amp;G5674&amp;"'!"&amp;H5674),"")</f>
        <v>78000</v>
      </c>
      <c r="G5674" s="1582" t="s">
        <v>6961</v>
      </c>
      <c r="H5674" s="2" t="s">
        <v>4415</v>
      </c>
    </row>
    <row r="5675" spans="1:8" x14ac:dyDescent="0.2">
      <c r="A5675">
        <v>5670</v>
      </c>
      <c r="B5675" s="7">
        <f>'EstRev 6-11'!G65</f>
        <v>2000</v>
      </c>
      <c r="C5675" s="3">
        <f t="shared" si="155"/>
        <v>3670</v>
      </c>
      <c r="E5675" s="2" t="b">
        <f t="shared" ca="1" si="154"/>
        <v>1</v>
      </c>
      <c r="F5675" s="2" cm="1">
        <f t="array" aca="1" ref="F5675" ca="1">IF(G5675&lt;&gt;"",INDIRECT("'"&amp;G5675&amp;"'!"&amp;H5675),"")</f>
        <v>2000</v>
      </c>
      <c r="G5675" s="1582" t="s">
        <v>6961</v>
      </c>
      <c r="H5675" s="2" t="s">
        <v>4706</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6961</v>
      </c>
      <c r="H5676" s="2" t="s">
        <v>4707</v>
      </c>
    </row>
    <row r="5677" spans="1:8" x14ac:dyDescent="0.2">
      <c r="A5677">
        <v>5672</v>
      </c>
      <c r="B5677" s="7">
        <f>'EstRev 6-11'!G67</f>
        <v>2000</v>
      </c>
      <c r="C5677" s="3">
        <f t="shared" si="155"/>
        <v>3672</v>
      </c>
      <c r="E5677" s="2" t="b">
        <f t="shared" ca="1" si="154"/>
        <v>1</v>
      </c>
      <c r="F5677" s="2" cm="1">
        <f t="array" aca="1" ref="F5677" ca="1">IF(G5677&lt;&gt;"",INDIRECT("'"&amp;G5677&amp;"'!"&amp;H5677),"")</f>
        <v>2000</v>
      </c>
      <c r="G5677" s="1582" t="s">
        <v>6961</v>
      </c>
      <c r="H5677" s="2" t="s">
        <v>4708</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6961</v>
      </c>
      <c r="H5678" s="2" t="s">
        <v>5652</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6961</v>
      </c>
      <c r="H5679" s="2" t="s">
        <v>5653</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6961</v>
      </c>
      <c r="H5680" s="2" t="s">
        <v>5654</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6961</v>
      </c>
      <c r="H5681" s="2" t="s">
        <v>5655</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6961</v>
      </c>
      <c r="H5682" s="2" t="s">
        <v>5656</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6961</v>
      </c>
      <c r="H5683" s="2" t="s">
        <v>5657</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6961</v>
      </c>
      <c r="H5684" s="2" t="s">
        <v>4718</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6961</v>
      </c>
      <c r="H5685" s="2" t="s">
        <v>5658</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6961</v>
      </c>
      <c r="H5686" s="2" t="s">
        <v>5659</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6961</v>
      </c>
      <c r="H5687" s="2" t="s">
        <v>5660</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6961</v>
      </c>
      <c r="H5692" s="2" t="s">
        <v>5332</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6961</v>
      </c>
      <c r="H5693" s="2" t="s">
        <v>5661</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6961</v>
      </c>
      <c r="H5696" s="2" t="s">
        <v>5662</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6961</v>
      </c>
      <c r="H5698" s="2" t="s">
        <v>5663</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6961</v>
      </c>
      <c r="H5699" s="2" t="s">
        <v>5664</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6961</v>
      </c>
      <c r="H5700" s="2" t="s">
        <v>5665</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6961</v>
      </c>
      <c r="H5701" s="2" t="s">
        <v>5666</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6961</v>
      </c>
      <c r="H5707" s="2" t="s">
        <v>5667</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6961</v>
      </c>
      <c r="H5709" s="2" t="s">
        <v>5668</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6961</v>
      </c>
      <c r="H5714" s="2" t="s">
        <v>5669</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6961</v>
      </c>
      <c r="H5722" s="2" t="s">
        <v>5670</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6961</v>
      </c>
      <c r="H5723" s="2" t="s">
        <v>5671</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6961</v>
      </c>
      <c r="H5724" s="2" t="s">
        <v>5672</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6961</v>
      </c>
      <c r="H5728" s="2" t="s">
        <v>5673</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6961</v>
      </c>
      <c r="H5729" s="2" t="s">
        <v>4906</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6961</v>
      </c>
      <c r="H5734" s="2" t="s">
        <v>5674</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6961</v>
      </c>
      <c r="H5735" s="2" t="s">
        <v>5675</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6961</v>
      </c>
      <c r="H5742" s="2" t="s">
        <v>5676</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6961</v>
      </c>
      <c r="H5743" s="2" t="s">
        <v>5677</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6961</v>
      </c>
      <c r="H5747" s="2" t="s">
        <v>5678</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6961</v>
      </c>
      <c r="H5761" s="2" t="s">
        <v>4909</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6961</v>
      </c>
      <c r="H5762" s="2" t="s">
        <v>5679</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6961</v>
      </c>
      <c r="H5765" s="2" t="s">
        <v>5680</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6961</v>
      </c>
      <c r="H5766" s="2" t="s">
        <v>5681</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6961</v>
      </c>
      <c r="H5767" s="2" t="s">
        <v>5682</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6961</v>
      </c>
      <c r="H5773" s="2" t="s">
        <v>5683</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6961</v>
      </c>
      <c r="H5788" s="2" t="s">
        <v>5684</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6961</v>
      </c>
      <c r="H5791" s="2" t="s">
        <v>5685</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6961</v>
      </c>
      <c r="H5797" s="2" t="s">
        <v>5686</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6961</v>
      </c>
      <c r="H5799" s="2" t="s">
        <v>5687</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6961</v>
      </c>
      <c r="H5802" s="2" t="s">
        <v>5688</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6961</v>
      </c>
      <c r="H5804" s="2" t="s">
        <v>5689</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6961</v>
      </c>
      <c r="H5807" s="2" t="s">
        <v>5690</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6961</v>
      </c>
      <c r="H5813" s="2" t="s">
        <v>5691</v>
      </c>
    </row>
    <row r="5814" spans="1:11" x14ac:dyDescent="0.2">
      <c r="A5814">
        <v>5809</v>
      </c>
      <c r="B5814" s="7">
        <f>'EstRev 6-11'!G272</f>
        <v>206000</v>
      </c>
      <c r="C5814" s="3">
        <f t="shared" si="159"/>
        <v>-200191</v>
      </c>
      <c r="E5814" s="2" t="b">
        <f t="shared" ca="1" si="158"/>
        <v>1</v>
      </c>
      <c r="F5814" s="2" cm="1">
        <f t="array" aca="1" ref="F5814" ca="1">IF(G5814&lt;&gt;"",INDIRECT("'"&amp;G5814&amp;"'!"&amp;H5814),"")</f>
        <v>206000</v>
      </c>
      <c r="G5814" s="1582" t="s">
        <v>6961</v>
      </c>
      <c r="H5814" s="2" t="s">
        <v>5692</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6961</v>
      </c>
      <c r="H5815" s="2" t="s">
        <v>4719</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6961</v>
      </c>
      <c r="H5816" s="2" t="s">
        <v>4477</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6961</v>
      </c>
      <c r="H5817" s="2" t="s">
        <v>4478</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6961</v>
      </c>
      <c r="H5818" s="2" t="s">
        <v>4409</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6961</v>
      </c>
      <c r="H5819" s="2" t="s">
        <v>4720</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6961</v>
      </c>
      <c r="H5820" s="2" t="s">
        <v>4479</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6961</v>
      </c>
      <c r="H5821" s="2" t="s">
        <v>5693</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6961</v>
      </c>
      <c r="H5822" s="2" t="s">
        <v>4416</v>
      </c>
    </row>
    <row r="5823" spans="1:11" x14ac:dyDescent="0.2">
      <c r="A5823">
        <v>5818</v>
      </c>
      <c r="B5823" s="7">
        <f>'EstRev 6-11'!H65</f>
        <v>0</v>
      </c>
      <c r="C5823" s="3">
        <f t="shared" si="159"/>
        <v>5818</v>
      </c>
      <c r="E5823" s="2" t="b">
        <f t="shared" ca="1" si="158"/>
        <v>1</v>
      </c>
      <c r="F5823" s="2" cm="1">
        <f t="array" aca="1" ref="F5823" ca="1">IF(G5823&lt;&gt;"",INDIRECT("'"&amp;G5823&amp;"'!"&amp;H5823),"")</f>
        <v>0</v>
      </c>
      <c r="G5823" s="1582" t="s">
        <v>6961</v>
      </c>
      <c r="H5823" s="2" t="s">
        <v>4743</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6961</v>
      </c>
      <c r="H5824" s="2" t="s">
        <v>4744</v>
      </c>
    </row>
    <row r="5825" spans="1:11" x14ac:dyDescent="0.2">
      <c r="A5825">
        <v>5820</v>
      </c>
      <c r="B5825" s="7">
        <f>'EstRev 6-11'!H67</f>
        <v>0</v>
      </c>
      <c r="C5825" s="3">
        <f t="shared" si="159"/>
        <v>5820</v>
      </c>
      <c r="E5825" s="2" t="b">
        <f t="shared" ca="1" si="158"/>
        <v>1</v>
      </c>
      <c r="F5825" s="2" cm="1">
        <f t="array" aca="1" ref="F5825" ca="1">IF(G5825&lt;&gt;"",INDIRECT("'"&amp;G5825&amp;"'!"&amp;H5825),"")</f>
        <v>0</v>
      </c>
      <c r="G5825" s="1582" t="s">
        <v>6961</v>
      </c>
      <c r="H5825" s="2" t="s">
        <v>4745</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6961</v>
      </c>
      <c r="H5826" s="2" t="s">
        <v>5694</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6961</v>
      </c>
      <c r="H5827" s="2" t="s">
        <v>5695</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6961</v>
      </c>
      <c r="H5828" s="2" t="s">
        <v>5696</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6961</v>
      </c>
      <c r="H5829" s="2" t="s">
        <v>5113</v>
      </c>
    </row>
    <row r="5830" spans="1:11" x14ac:dyDescent="0.2">
      <c r="A5830">
        <v>5825</v>
      </c>
      <c r="B5830" s="7">
        <f>'EstRev 6-11'!H110</f>
        <v>0</v>
      </c>
      <c r="C5830" s="3">
        <f t="shared" si="159"/>
        <v>5825</v>
      </c>
      <c r="E5830" s="2" t="b">
        <f t="shared" ca="1" si="160"/>
        <v>1</v>
      </c>
      <c r="F5830" s="2" cm="1">
        <f t="array" aca="1" ref="F5830" ca="1">IF(G5830&lt;&gt;"",INDIRECT("'"&amp;G5830&amp;"'!"&amp;H5830),"")</f>
        <v>0</v>
      </c>
      <c r="G5830" s="1582" t="s">
        <v>6961</v>
      </c>
      <c r="H5830" s="2" t="s">
        <v>5114</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6961</v>
      </c>
      <c r="H5831" s="2" t="s">
        <v>5697</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6961</v>
      </c>
      <c r="H5832" s="2" t="s">
        <v>5698</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6961</v>
      </c>
      <c r="H5837" s="2" t="s">
        <v>5333</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6961</v>
      </c>
      <c r="H5843" s="2" t="s">
        <v>4873</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6961</v>
      </c>
      <c r="H5850" s="2" t="s">
        <v>4874</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6961</v>
      </c>
      <c r="H5851" s="2" t="s">
        <v>5699</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6961</v>
      </c>
      <c r="H5852" s="2" t="s">
        <v>5700</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6961</v>
      </c>
      <c r="H5858" s="2" t="s">
        <v>5701</v>
      </c>
    </row>
    <row r="5859" spans="1:11" x14ac:dyDescent="0.2">
      <c r="A5859">
        <v>5854</v>
      </c>
      <c r="B5859" s="7">
        <f>'EstRev 6-11'!H272</f>
        <v>0</v>
      </c>
      <c r="C5859" s="3">
        <f t="shared" si="161"/>
        <v>5854</v>
      </c>
      <c r="E5859" s="2" t="b">
        <f t="shared" ca="1" si="160"/>
        <v>1</v>
      </c>
      <c r="F5859" s="2" cm="1">
        <f t="array" aca="1" ref="F5859" ca="1">IF(G5859&lt;&gt;"",INDIRECT("'"&amp;G5859&amp;"'!"&amp;H5859),"")</f>
        <v>0</v>
      </c>
      <c r="G5859" s="1582" t="s">
        <v>6961</v>
      </c>
      <c r="H5859" s="2" t="s">
        <v>5702</v>
      </c>
    </row>
    <row r="5860" spans="1:11" x14ac:dyDescent="0.2">
      <c r="A5860">
        <v>5855</v>
      </c>
      <c r="B5860" s="7">
        <f>'EstRev 6-11'!I5</f>
        <v>37000</v>
      </c>
      <c r="C5860" s="3">
        <f t="shared" si="161"/>
        <v>-31145</v>
      </c>
      <c r="E5860" s="2" t="b">
        <f t="shared" ca="1" si="160"/>
        <v>1</v>
      </c>
      <c r="F5860" s="2" cm="1">
        <f t="array" aca="1" ref="F5860" ca="1">IF(G5860&lt;&gt;"",INDIRECT("'"&amp;G5860&amp;"'!"&amp;H5860),"")</f>
        <v>37000</v>
      </c>
      <c r="G5860" s="1582" t="s">
        <v>6961</v>
      </c>
      <c r="H5860" s="2" t="s">
        <v>5206</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6961</v>
      </c>
      <c r="H5861" s="2" t="s">
        <v>4486</v>
      </c>
    </row>
    <row r="5862" spans="1:11" x14ac:dyDescent="0.2">
      <c r="A5862">
        <v>5857</v>
      </c>
      <c r="B5862" s="7">
        <f>'EstRev 6-11'!I12</f>
        <v>37000</v>
      </c>
      <c r="C5862" s="3">
        <f t="shared" si="161"/>
        <v>-31143</v>
      </c>
      <c r="E5862" s="2" t="b">
        <f t="shared" ca="1" si="160"/>
        <v>1</v>
      </c>
      <c r="F5862" s="2" cm="1">
        <f t="array" aca="1" ref="F5862" ca="1">IF(G5862&lt;&gt;"",INDIRECT("'"&amp;G5862&amp;"'!"&amp;H5862),"")</f>
        <v>37000</v>
      </c>
      <c r="G5862" s="1582" t="s">
        <v>6961</v>
      </c>
      <c r="H5862" s="2" t="s">
        <v>4487</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6961</v>
      </c>
      <c r="H5863" s="2" t="s">
        <v>5703</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6961</v>
      </c>
      <c r="H5864" s="2" t="s">
        <v>4489</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6961</v>
      </c>
      <c r="H5865" s="2" t="s">
        <v>5704</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6961</v>
      </c>
      <c r="H5866" s="2" t="s">
        <v>5705</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6961</v>
      </c>
      <c r="H5867" s="2" t="s">
        <v>5706</v>
      </c>
    </row>
    <row r="5868" spans="1:11" x14ac:dyDescent="0.2">
      <c r="A5868">
        <v>5863</v>
      </c>
      <c r="B5868" s="7">
        <f>'EstRev 6-11'!I65</f>
        <v>4000</v>
      </c>
      <c r="C5868" s="3">
        <f t="shared" si="161"/>
        <v>1863</v>
      </c>
      <c r="E5868" s="2" t="b">
        <f t="shared" ca="1" si="160"/>
        <v>1</v>
      </c>
      <c r="F5868" s="2" cm="1">
        <f t="array" aca="1" ref="F5868" ca="1">IF(G5868&lt;&gt;"",INDIRECT("'"&amp;G5868&amp;"'!"&amp;H5868),"")</f>
        <v>4000</v>
      </c>
      <c r="G5868" s="1582" t="s">
        <v>6961</v>
      </c>
      <c r="H5868" s="2" t="s">
        <v>5707</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6961</v>
      </c>
      <c r="H5869" s="2" t="s">
        <v>5708</v>
      </c>
    </row>
    <row r="5870" spans="1:11" x14ac:dyDescent="0.2">
      <c r="A5870">
        <v>5865</v>
      </c>
      <c r="B5870" s="7">
        <f>'EstRev 6-11'!I67</f>
        <v>4000</v>
      </c>
      <c r="C5870" s="3">
        <f t="shared" si="161"/>
        <v>1865</v>
      </c>
      <c r="E5870" s="2" t="b">
        <f t="shared" ca="1" si="160"/>
        <v>1</v>
      </c>
      <c r="F5870" s="2" cm="1">
        <f t="array" aca="1" ref="F5870" ca="1">IF(G5870&lt;&gt;"",INDIRECT("'"&amp;G5870&amp;"'!"&amp;H5870),"")</f>
        <v>4000</v>
      </c>
      <c r="G5870" s="1582" t="s">
        <v>6961</v>
      </c>
      <c r="H5870" s="2" t="s">
        <v>5709</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6961</v>
      </c>
      <c r="H5871" s="2" t="s">
        <v>5710</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6961</v>
      </c>
      <c r="H5873" s="2" t="s">
        <v>5711</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6961</v>
      </c>
      <c r="H5874" s="2" t="s">
        <v>5712</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41000</v>
      </c>
      <c r="C5890" s="3">
        <f t="shared" si="161"/>
        <v>-35115</v>
      </c>
      <c r="E5890" s="2" t="b">
        <f t="shared" ref="E5890:E5953" ca="1" si="162">F5890=B5890</f>
        <v>1</v>
      </c>
      <c r="F5890" s="2" cm="1">
        <f t="array" aca="1" ref="F5890" ca="1">IF(G5890&lt;&gt;"",INDIRECT("'"&amp;G5890&amp;"'!"&amp;H5890),"")</f>
        <v>41000</v>
      </c>
      <c r="G5890" s="1582" t="s">
        <v>6961</v>
      </c>
      <c r="H5890" s="2" t="s">
        <v>5713</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0</v>
      </c>
      <c r="C5929" s="3">
        <f t="shared" ref="C5929:C5958" si="163">A5929-B5929</f>
        <v>5924</v>
      </c>
      <c r="E5929" s="2" t="b">
        <f t="shared" ca="1" si="162"/>
        <v>1</v>
      </c>
      <c r="F5929" s="2" cm="1">
        <f t="array" aca="1" ref="F5929" ca="1">IF(G5929&lt;&gt;"",INDIRECT("'"&amp;G5929&amp;"'!"&amp;H5929),"")</f>
        <v>0</v>
      </c>
      <c r="G5929" s="1582" t="s">
        <v>6961</v>
      </c>
      <c r="H5929" s="2" t="s">
        <v>4761</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6961</v>
      </c>
      <c r="H5930" s="2" t="s">
        <v>4495</v>
      </c>
    </row>
    <row r="5931" spans="1:11" x14ac:dyDescent="0.2">
      <c r="A5931">
        <v>5926</v>
      </c>
      <c r="B5931" s="7">
        <f>'EstRev 6-11'!K12</f>
        <v>0</v>
      </c>
      <c r="C5931" s="3">
        <f t="shared" si="163"/>
        <v>5926</v>
      </c>
      <c r="E5931" s="2" t="b">
        <f t="shared" ca="1" si="162"/>
        <v>1</v>
      </c>
      <c r="F5931" s="2" cm="1">
        <f t="array" aca="1" ref="F5931" ca="1">IF(G5931&lt;&gt;"",INDIRECT("'"&amp;G5931&amp;"'!"&amp;H5931),"")</f>
        <v>0</v>
      </c>
      <c r="G5931" s="1582" t="s">
        <v>6961</v>
      </c>
      <c r="H5931" s="2" t="s">
        <v>4496</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6961</v>
      </c>
      <c r="H5932" s="2" t="s">
        <v>4762</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6961</v>
      </c>
      <c r="H5933" s="2" t="s">
        <v>4763</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6961</v>
      </c>
      <c r="H5934" s="2" t="s">
        <v>4498</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6961</v>
      </c>
      <c r="H5935" s="2" t="s">
        <v>4499</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6961</v>
      </c>
      <c r="H5936" s="2" t="s">
        <v>4417</v>
      </c>
    </row>
    <row r="5937" spans="1:11" x14ac:dyDescent="0.2">
      <c r="A5937">
        <v>5932</v>
      </c>
      <c r="B5937" s="7">
        <f>'EstRev 6-11'!K65</f>
        <v>0</v>
      </c>
      <c r="C5937" s="3">
        <f t="shared" si="163"/>
        <v>5932</v>
      </c>
      <c r="E5937" s="2" t="b">
        <f t="shared" ca="1" si="162"/>
        <v>1</v>
      </c>
      <c r="F5937" s="2" cm="1">
        <f t="array" aca="1" ref="F5937" ca="1">IF(G5937&lt;&gt;"",INDIRECT("'"&amp;G5937&amp;"'!"&amp;H5937),"")</f>
        <v>0</v>
      </c>
      <c r="G5937" s="1582" t="s">
        <v>6961</v>
      </c>
      <c r="H5937" s="2" t="s">
        <v>4786</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6961</v>
      </c>
      <c r="H5938" s="2" t="s">
        <v>4787</v>
      </c>
    </row>
    <row r="5939" spans="1:11" x14ac:dyDescent="0.2">
      <c r="A5939">
        <v>5934</v>
      </c>
      <c r="B5939" s="7">
        <f>'EstRev 6-11'!K67</f>
        <v>0</v>
      </c>
      <c r="C5939" s="3">
        <f t="shared" si="163"/>
        <v>5934</v>
      </c>
      <c r="E5939" s="2" t="b">
        <f t="shared" ca="1" si="162"/>
        <v>1</v>
      </c>
      <c r="F5939" s="2" cm="1">
        <f t="array" aca="1" ref="F5939" ca="1">IF(G5939&lt;&gt;"",INDIRECT("'"&amp;G5939&amp;"'!"&amp;H5939),"")</f>
        <v>0</v>
      </c>
      <c r="G5939" s="1582" t="s">
        <v>6961</v>
      </c>
      <c r="H5939" s="2" t="s">
        <v>4788</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6961</v>
      </c>
      <c r="H5940" s="2" t="s">
        <v>5714</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6961</v>
      </c>
      <c r="H5941" s="2" t="s">
        <v>5715</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6961</v>
      </c>
      <c r="H5942" s="2" t="s">
        <v>5115</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6961</v>
      </c>
      <c r="H5943" s="2" t="s">
        <v>5116</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6961</v>
      </c>
      <c r="H5944" s="2" t="s">
        <v>5716</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6961</v>
      </c>
      <c r="H5945" s="2" t="s">
        <v>5717</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6961</v>
      </c>
      <c r="H5950" s="2" t="s">
        <v>5334</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6961</v>
      </c>
      <c r="H5958" s="2" t="s">
        <v>4883</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6961</v>
      </c>
      <c r="H5960" s="2" t="s">
        <v>5718</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6961</v>
      </c>
      <c r="H5966" s="2" t="s">
        <v>5009</v>
      </c>
    </row>
    <row r="5967" spans="1:11" x14ac:dyDescent="0.2">
      <c r="A5967">
        <v>5962</v>
      </c>
      <c r="B5967" s="7">
        <f>'EstRev 6-11'!K272</f>
        <v>0</v>
      </c>
      <c r="C5967" s="3">
        <f t="shared" si="165"/>
        <v>5962</v>
      </c>
      <c r="E5967" s="2" t="b">
        <f t="shared" ca="1" si="164"/>
        <v>1</v>
      </c>
      <c r="F5967" s="2" cm="1">
        <f t="array" aca="1" ref="F5967" ca="1">IF(G5967&lt;&gt;"",INDIRECT("'"&amp;G5967&amp;"'!"&amp;H5967),"")</f>
        <v>0</v>
      </c>
      <c r="G5967" s="1582" t="s">
        <v>6961</v>
      </c>
      <c r="H5967" s="2" t="s">
        <v>5010</v>
      </c>
    </row>
    <row r="5968" spans="1:11" x14ac:dyDescent="0.2">
      <c r="A5968">
        <v>5963</v>
      </c>
      <c r="B5968" s="7">
        <f>'EstRev 6-11'!G111</f>
        <v>206000</v>
      </c>
      <c r="C5968" s="3">
        <f t="shared" si="165"/>
        <v>-200037</v>
      </c>
      <c r="E5968" s="2" t="b">
        <f t="shared" ca="1" si="164"/>
        <v>1</v>
      </c>
      <c r="F5968" s="2" cm="1">
        <f t="array" aca="1" ref="F5968" ca="1">IF(G5968&lt;&gt;"",INDIRECT("'"&amp;G5968&amp;"'!"&amp;H5968),"")</f>
        <v>206000</v>
      </c>
      <c r="G5968" s="1582" t="s">
        <v>6961</v>
      </c>
      <c r="H5968" s="2" t="s">
        <v>5719</v>
      </c>
    </row>
    <row r="5969" spans="1:11" x14ac:dyDescent="0.2">
      <c r="A5969">
        <v>5964</v>
      </c>
      <c r="B5969" s="7">
        <f>'EstRev 6-11'!H111</f>
        <v>0</v>
      </c>
      <c r="C5969" s="3">
        <f t="shared" si="165"/>
        <v>5964</v>
      </c>
      <c r="E5969" s="2" t="b">
        <f t="shared" ca="1" si="164"/>
        <v>1</v>
      </c>
      <c r="F5969" s="2" cm="1">
        <f t="array" aca="1" ref="F5969" ca="1">IF(G5969&lt;&gt;"",INDIRECT("'"&amp;G5969&amp;"'!"&amp;H5969),"")</f>
        <v>0</v>
      </c>
      <c r="G5969" s="1582" t="s">
        <v>6961</v>
      </c>
      <c r="H5969" s="2" t="s">
        <v>4758</v>
      </c>
    </row>
    <row r="5970" spans="1:11" x14ac:dyDescent="0.2">
      <c r="A5970">
        <v>5965</v>
      </c>
      <c r="B5970" s="7">
        <f>'EstRev 6-11'!I111</f>
        <v>41000</v>
      </c>
      <c r="C5970" s="3">
        <f t="shared" si="165"/>
        <v>-35035</v>
      </c>
      <c r="E5970" s="2" t="b">
        <f t="shared" ca="1" si="164"/>
        <v>1</v>
      </c>
      <c r="F5970" s="2" cm="1">
        <f t="array" aca="1" ref="F5970" ca="1">IF(G5970&lt;&gt;"",INDIRECT("'"&amp;G5970&amp;"'!"&amp;H5970),"")</f>
        <v>41000</v>
      </c>
      <c r="G5970" s="1582" t="s">
        <v>6961</v>
      </c>
      <c r="H5970" s="2" t="s">
        <v>5720</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0</v>
      </c>
      <c r="C5972" s="3">
        <f t="shared" si="165"/>
        <v>5967</v>
      </c>
      <c r="E5972" s="2" t="b">
        <f t="shared" ca="1" si="164"/>
        <v>1</v>
      </c>
      <c r="F5972" s="2" cm="1">
        <f t="array" aca="1" ref="F5972" ca="1">IF(G5972&lt;&gt;"",INDIRECT("'"&amp;G5972&amp;"'!"&amp;H5972),"")</f>
        <v>0</v>
      </c>
      <c r="G5972" s="1582" t="s">
        <v>6961</v>
      </c>
      <c r="H5972" s="2" t="s">
        <v>4801</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30000</v>
      </c>
      <c r="C5975" s="3">
        <f t="shared" si="165"/>
        <v>-24030</v>
      </c>
      <c r="E5975" s="2" t="b">
        <f t="shared" ca="1" si="164"/>
        <v>1</v>
      </c>
      <c r="F5975" s="2" cm="1">
        <f t="array" aca="1" ref="F5975" ca="1">IF(G5975&lt;&gt;"",INDIRECT("'"&amp;G5975&amp;"'!"&amp;H5975),"")</f>
        <v>30000</v>
      </c>
      <c r="G5975" s="1582" t="s">
        <v>6961</v>
      </c>
      <c r="H5975" s="2" t="s">
        <v>4559</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6958</v>
      </c>
      <c r="H5976" s="2" t="s">
        <v>4470</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149000</v>
      </c>
      <c r="C5982" s="3">
        <f t="shared" si="165"/>
        <v>-143023</v>
      </c>
      <c r="E5982" s="2" t="b">
        <f t="shared" ca="1" si="164"/>
        <v>1</v>
      </c>
      <c r="F5982" s="2" cm="1">
        <f t="array" aca="1" ref="F5982" ca="1">IF(G5982&lt;&gt;"",INDIRECT("'"&amp;G5982&amp;"'!"&amp;H5982),"")</f>
        <v>149000</v>
      </c>
      <c r="G5982" s="1582" t="s">
        <v>6958</v>
      </c>
      <c r="H5982" s="2" t="s">
        <v>5721</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6958</v>
      </c>
      <c r="H5983" s="2" t="s">
        <v>5722</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6958</v>
      </c>
      <c r="H5984" s="2" t="s">
        <v>5723</v>
      </c>
    </row>
    <row r="5985" spans="1:8" x14ac:dyDescent="0.2">
      <c r="A5985">
        <v>5980</v>
      </c>
      <c r="B5985" s="7">
        <f>'BudgetSum 2-4'!J3</f>
        <v>286639</v>
      </c>
      <c r="C5985" s="3">
        <f t="shared" si="165"/>
        <v>-280659</v>
      </c>
      <c r="D5985" s="3" t="s">
        <v>63</v>
      </c>
      <c r="E5985" s="2" t="b">
        <f t="shared" ca="1" si="164"/>
        <v>1</v>
      </c>
      <c r="F5985" s="2" cm="1">
        <f t="array" aca="1" ref="F5985" ca="1">IF(G5985&lt;&gt;"",INDIRECT("'"&amp;G5985&amp;"'!"&amp;H5985),"")</f>
        <v>286639</v>
      </c>
      <c r="G5985" s="1582" t="s">
        <v>6958</v>
      </c>
      <c r="H5985" s="2" t="s">
        <v>5724</v>
      </c>
    </row>
    <row r="5986" spans="1:8" x14ac:dyDescent="0.2">
      <c r="A5986">
        <v>5981</v>
      </c>
      <c r="B5986" s="7">
        <f>'BudgetSum 2-4'!J5</f>
        <v>149000</v>
      </c>
      <c r="C5986" s="3">
        <f t="shared" si="165"/>
        <v>-143019</v>
      </c>
      <c r="D5986" s="3" t="s">
        <v>63</v>
      </c>
      <c r="E5986" s="2" t="b">
        <f t="shared" ca="1" si="164"/>
        <v>1</v>
      </c>
      <c r="F5986" s="2" cm="1">
        <f t="array" aca="1" ref="F5986" ca="1">IF(G5986&lt;&gt;"",INDIRECT("'"&amp;G5986&amp;"'!"&amp;H5986),"")</f>
        <v>149000</v>
      </c>
      <c r="G5986" s="1582" t="s">
        <v>6958</v>
      </c>
      <c r="H5986" s="2" t="s">
        <v>5725</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6958</v>
      </c>
      <c r="H5987" s="2" t="s">
        <v>5726</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6958</v>
      </c>
      <c r="H5988" s="2" t="s">
        <v>5727</v>
      </c>
    </row>
    <row r="5989" spans="1:8" x14ac:dyDescent="0.2">
      <c r="A5989">
        <v>5984</v>
      </c>
      <c r="B5989" s="7">
        <f>'BudgetSum 2-4'!J9</f>
        <v>149000</v>
      </c>
      <c r="C5989" s="3">
        <f t="shared" si="165"/>
        <v>-143016</v>
      </c>
      <c r="D5989" s="3" t="s">
        <v>63</v>
      </c>
      <c r="E5989" s="2" t="b">
        <f t="shared" ca="1" si="164"/>
        <v>1</v>
      </c>
      <c r="F5989" s="2" cm="1">
        <f t="array" aca="1" ref="F5989" ca="1">IF(G5989&lt;&gt;"",INDIRECT("'"&amp;G5989&amp;"'!"&amp;H5989),"")</f>
        <v>149000</v>
      </c>
      <c r="G5989" s="1582" t="s">
        <v>6958</v>
      </c>
      <c r="H5989" s="2" t="s">
        <v>5728</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6958</v>
      </c>
      <c r="H5990" s="2" t="s">
        <v>5729</v>
      </c>
    </row>
    <row r="5991" spans="1:8" x14ac:dyDescent="0.2">
      <c r="A5991">
        <v>5986</v>
      </c>
      <c r="B5991" s="7">
        <f>'BudgetSum 2-4'!J11</f>
        <v>149000</v>
      </c>
      <c r="C5991" s="3">
        <f t="shared" si="165"/>
        <v>-143014</v>
      </c>
      <c r="D5991" s="3" t="s">
        <v>63</v>
      </c>
      <c r="E5991" s="2" t="b">
        <f t="shared" ca="1" si="164"/>
        <v>1</v>
      </c>
      <c r="F5991" s="2" cm="1">
        <f t="array" aca="1" ref="F5991" ca="1">IF(G5991&lt;&gt;"",INDIRECT("'"&amp;G5991&amp;"'!"&amp;H5991),"")</f>
        <v>149000</v>
      </c>
      <c r="G5991" s="1582" t="s">
        <v>6958</v>
      </c>
      <c r="H5991" s="2" t="s">
        <v>5730</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149000</v>
      </c>
      <c r="C5993" s="3">
        <f t="shared" si="165"/>
        <v>-143012</v>
      </c>
      <c r="D5993" s="3" t="s">
        <v>63</v>
      </c>
      <c r="E5993" s="2" t="b">
        <f t="shared" ca="1" si="164"/>
        <v>1</v>
      </c>
      <c r="F5993" s="2" cm="1">
        <f t="array" aca="1" ref="F5993" ca="1">IF(G5993&lt;&gt;"",INDIRECT("'"&amp;G5993&amp;"'!"&amp;H5993),"")</f>
        <v>149000</v>
      </c>
      <c r="G5993" s="1582" t="s">
        <v>6958</v>
      </c>
      <c r="H5993" s="2" t="s">
        <v>5731</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6958</v>
      </c>
      <c r="H5994" s="2" t="s">
        <v>5732</v>
      </c>
    </row>
    <row r="5995" spans="1:8" x14ac:dyDescent="0.2">
      <c r="A5995">
        <v>5990</v>
      </c>
      <c r="B5995" s="7">
        <f>'BudgetSum 2-4'!J21</f>
        <v>149000</v>
      </c>
      <c r="C5995" s="3">
        <f t="shared" si="165"/>
        <v>-143010</v>
      </c>
      <c r="D5995" s="3" t="s">
        <v>63</v>
      </c>
      <c r="E5995" s="2" t="b">
        <f t="shared" ca="1" si="164"/>
        <v>1</v>
      </c>
      <c r="F5995" s="2" cm="1">
        <f t="array" aca="1" ref="F5995" ca="1">IF(G5995&lt;&gt;"",INDIRECT("'"&amp;G5995&amp;"'!"&amp;H5995),"")</f>
        <v>149000</v>
      </c>
      <c r="G5995" s="1582" t="s">
        <v>6958</v>
      </c>
      <c r="H5995" s="2" t="s">
        <v>5733</v>
      </c>
    </row>
    <row r="5996" spans="1:8" x14ac:dyDescent="0.2">
      <c r="A5996">
        <v>5991</v>
      </c>
      <c r="B5996" s="7">
        <f>'BudgetSum 2-4'!J22</f>
        <v>0</v>
      </c>
      <c r="C5996" s="3">
        <f t="shared" si="165"/>
        <v>5991</v>
      </c>
      <c r="D5996" s="3" t="s">
        <v>63</v>
      </c>
      <c r="E5996" s="2" t="b">
        <f t="shared" ca="1" si="164"/>
        <v>1</v>
      </c>
      <c r="F5996" s="2" cm="1">
        <f t="array" aca="1" ref="F5996" ca="1">IF(G5996&lt;&gt;"",INDIRECT("'"&amp;G5996&amp;"'!"&amp;H5996),"")</f>
        <v>0</v>
      </c>
      <c r="G5996" s="1582" t="s">
        <v>6958</v>
      </c>
      <c r="H5996" s="2" t="s">
        <v>5734</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6958</v>
      </c>
      <c r="H5997" s="2" t="s">
        <v>5735</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6958</v>
      </c>
      <c r="H5998" s="2" t="s">
        <v>5736</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6958</v>
      </c>
      <c r="H5999" s="2" t="s">
        <v>5737</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6958</v>
      </c>
      <c r="H6000" s="2" t="s">
        <v>5738</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6958</v>
      </c>
      <c r="H6001" s="2" t="s">
        <v>5739</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6958</v>
      </c>
      <c r="H6002" s="2" t="s">
        <v>5740</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6958</v>
      </c>
      <c r="H6003" s="2" t="s">
        <v>4611</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6958</v>
      </c>
      <c r="H6004" s="2" t="s">
        <v>4612</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6958</v>
      </c>
      <c r="H6005" s="2" t="s">
        <v>4613</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6958</v>
      </c>
      <c r="H6006" s="2" t="s">
        <v>4614</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6958</v>
      </c>
      <c r="H6007" s="2" t="s">
        <v>4541</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6958</v>
      </c>
      <c r="H6008" s="2" t="s">
        <v>4578</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6958</v>
      </c>
      <c r="H6009" s="2" t="s">
        <v>4616</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6958</v>
      </c>
      <c r="H6010" s="2" t="s">
        <v>4653</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6958</v>
      </c>
      <c r="H6011" s="2" t="s">
        <v>4691</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6958</v>
      </c>
      <c r="H6012" s="2" t="s">
        <v>4727</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6958</v>
      </c>
      <c r="H6013" s="2" t="s">
        <v>4728</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6958</v>
      </c>
      <c r="H6014" s="2" t="s">
        <v>4771</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6958</v>
      </c>
      <c r="H6015" s="2" t="s">
        <v>5741</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6958</v>
      </c>
      <c r="H6016" s="2" t="s">
        <v>4549</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6958</v>
      </c>
      <c r="H6017" s="2" t="s">
        <v>4586</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6958</v>
      </c>
      <c r="H6018" s="2" t="s">
        <v>4736</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6958</v>
      </c>
      <c r="H6019" s="2" t="s">
        <v>4552</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6958</v>
      </c>
      <c r="H6020" s="2" t="s">
        <v>4589</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6958</v>
      </c>
      <c r="H6021" s="2" t="s">
        <v>4739</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6958</v>
      </c>
      <c r="H6022" s="2" t="s">
        <v>4556</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6958</v>
      </c>
      <c r="H6023" s="2" t="s">
        <v>4593</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6958</v>
      </c>
      <c r="H6024" s="2" t="s">
        <v>4559</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6958</v>
      </c>
      <c r="H6025" s="2" t="s">
        <v>4596</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6958</v>
      </c>
      <c r="H6026" s="2" t="s">
        <v>4563</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6958</v>
      </c>
      <c r="H6027" s="2" t="s">
        <v>4600</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6958</v>
      </c>
      <c r="H6029" s="2" t="s">
        <v>4567</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6958</v>
      </c>
      <c r="H6030" s="2" t="s">
        <v>4604</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6958</v>
      </c>
      <c r="H6031" s="2" t="s">
        <v>4679</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6958</v>
      </c>
      <c r="H6032" s="2" t="s">
        <v>4717</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6958</v>
      </c>
      <c r="H6033" s="2" t="s">
        <v>4754</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6958</v>
      </c>
      <c r="H6034" s="2" t="s">
        <v>4797</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6958</v>
      </c>
      <c r="H6035" s="2" t="s">
        <v>5742</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6958</v>
      </c>
      <c r="H6036" s="2" t="s">
        <v>5743</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6958</v>
      </c>
      <c r="H6037" s="2" t="s">
        <v>5744</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6958</v>
      </c>
      <c r="H6038" s="2" t="s">
        <v>5745</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6958</v>
      </c>
      <c r="H6039" s="2" t="s">
        <v>5746</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6958</v>
      </c>
      <c r="H6040" s="2" t="s">
        <v>5747</v>
      </c>
    </row>
    <row r="6041" spans="1:19" x14ac:dyDescent="0.2">
      <c r="A6041">
        <v>6036</v>
      </c>
      <c r="B6041" s="7">
        <f>'BudgetSum 2-4'!J81</f>
        <v>286639</v>
      </c>
      <c r="C6041" s="3">
        <f t="shared" si="167"/>
        <v>-280603</v>
      </c>
      <c r="D6041" s="3" t="s">
        <v>63</v>
      </c>
      <c r="E6041" s="2" t="b">
        <f t="shared" ca="1" si="166"/>
        <v>1</v>
      </c>
      <c r="F6041" s="2" cm="1">
        <f t="array" aca="1" ref="F6041" ca="1">IF(G6041&lt;&gt;"",INDIRECT("'"&amp;G6041&amp;"'!"&amp;H6041),"")</f>
        <v>286639</v>
      </c>
      <c r="G6041" s="1582" t="s">
        <v>6958</v>
      </c>
      <c r="H6041" s="2" t="s">
        <v>5748</v>
      </c>
    </row>
    <row r="6042" spans="1:19" x14ac:dyDescent="0.2">
      <c r="A6042">
        <v>6037</v>
      </c>
      <c r="B6042" s="8">
        <f>'CashSum 5'!J3</f>
        <v>286639</v>
      </c>
      <c r="C6042" s="3">
        <f t="shared" si="167"/>
        <v>-280602</v>
      </c>
      <c r="D6042" s="3" t="s">
        <v>63</v>
      </c>
      <c r="E6042" s="2" t="b">
        <f t="shared" ca="1" si="166"/>
        <v>1</v>
      </c>
      <c r="F6042" s="2" cm="1">
        <f t="array" aca="1" ref="F6042" ca="1">IF(G6042&lt;&gt;"",INDIRECT("'"&amp;G6042&amp;"'!"&amp;H6042),"")</f>
        <v>286639</v>
      </c>
      <c r="G6042" s="1582" t="s">
        <v>6959</v>
      </c>
      <c r="H6042" s="2" t="s">
        <v>5724</v>
      </c>
      <c r="S6042" s="8"/>
    </row>
    <row r="6043" spans="1:19" x14ac:dyDescent="0.2">
      <c r="A6043">
        <v>6038</v>
      </c>
      <c r="B6043" s="8">
        <f>'CashSum 5'!J4</f>
        <v>149000</v>
      </c>
      <c r="C6043" s="3">
        <f t="shared" si="167"/>
        <v>-142962</v>
      </c>
      <c r="D6043" s="3" t="s">
        <v>63</v>
      </c>
      <c r="E6043" s="2" t="b">
        <f t="shared" ca="1" si="166"/>
        <v>1</v>
      </c>
      <c r="F6043" s="2" cm="1">
        <f t="array" aca="1" ref="F6043" ca="1">IF(G6043&lt;&gt;"",INDIRECT("'"&amp;G6043&amp;"'!"&amp;H6043),"")</f>
        <v>149000</v>
      </c>
      <c r="G6043" s="1582" t="s">
        <v>6959</v>
      </c>
      <c r="H6043" s="2" t="s">
        <v>5749</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6959</v>
      </c>
      <c r="H6044" s="2" t="s">
        <v>5245</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6959</v>
      </c>
      <c r="H6045" s="2" t="s">
        <v>5246</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6959</v>
      </c>
      <c r="H6046" s="2" t="s">
        <v>5750</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6959</v>
      </c>
      <c r="H6047" s="2" t="s">
        <v>5236</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6959</v>
      </c>
      <c r="H6048" s="2" t="s">
        <v>5079</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6959</v>
      </c>
      <c r="H6049" s="2" t="s">
        <v>5083</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6959</v>
      </c>
      <c r="H6050" s="2" t="s">
        <v>5727</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6959</v>
      </c>
      <c r="H6051" s="2" t="s">
        <v>5087</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6959</v>
      </c>
      <c r="H6052" s="2" t="s">
        <v>5080</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6959</v>
      </c>
      <c r="H6053" s="2" t="s">
        <v>5084</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6959</v>
      </c>
      <c r="H6054" s="2" t="s">
        <v>5729</v>
      </c>
      <c r="S6054" s="8"/>
    </row>
    <row r="6055" spans="1:19" x14ac:dyDescent="0.2">
      <c r="A6055">
        <v>6050</v>
      </c>
      <c r="B6055" s="8">
        <f>'CashSum 5'!J11</f>
        <v>149000</v>
      </c>
      <c r="C6055" s="3">
        <f t="shared" si="167"/>
        <v>-142950</v>
      </c>
      <c r="D6055" s="3" t="s">
        <v>63</v>
      </c>
      <c r="E6055" s="2" t="b">
        <f t="shared" ca="1" si="166"/>
        <v>1</v>
      </c>
      <c r="F6055" s="2" cm="1">
        <f t="array" aca="1" ref="F6055" ca="1">IF(G6055&lt;&gt;"",INDIRECT("'"&amp;G6055&amp;"'!"&amp;H6055),"")</f>
        <v>149000</v>
      </c>
      <c r="G6055" s="1582" t="s">
        <v>6959</v>
      </c>
      <c r="H6055" s="2" t="s">
        <v>5730</v>
      </c>
      <c r="S6055" s="8"/>
    </row>
    <row r="6056" spans="1:19" x14ac:dyDescent="0.2">
      <c r="A6056">
        <v>6051</v>
      </c>
      <c r="B6056" s="8">
        <f>'CashSum 5'!J12</f>
        <v>435639</v>
      </c>
      <c r="C6056" s="3">
        <f t="shared" si="167"/>
        <v>-429588</v>
      </c>
      <c r="D6056" s="3" t="s">
        <v>63</v>
      </c>
      <c r="E6056" s="2" t="b">
        <f t="shared" ca="1" si="166"/>
        <v>1</v>
      </c>
      <c r="F6056" s="2" cm="1">
        <f t="array" aca="1" ref="F6056" ca="1">IF(G6056&lt;&gt;"",INDIRECT("'"&amp;G6056&amp;"'!"&amp;H6056),"")</f>
        <v>435639</v>
      </c>
      <c r="G6056" s="1582" t="s">
        <v>6959</v>
      </c>
      <c r="H6056" s="2" t="s">
        <v>5751</v>
      </c>
      <c r="S6056" s="8"/>
    </row>
    <row r="6057" spans="1:19" x14ac:dyDescent="0.2">
      <c r="A6057">
        <v>6052</v>
      </c>
      <c r="B6057" s="8">
        <f>'CashSum 5'!J13</f>
        <v>149000</v>
      </c>
      <c r="C6057" s="3">
        <f t="shared" si="167"/>
        <v>-142948</v>
      </c>
      <c r="D6057" s="3" t="s">
        <v>63</v>
      </c>
      <c r="E6057" s="2" t="b">
        <f t="shared" ca="1" si="166"/>
        <v>1</v>
      </c>
      <c r="F6057" s="2" cm="1">
        <f t="array" aca="1" ref="F6057" ca="1">IF(G6057&lt;&gt;"",INDIRECT("'"&amp;G6057&amp;"'!"&amp;H6057),"")</f>
        <v>149000</v>
      </c>
      <c r="G6057" s="1582" t="s">
        <v>6959</v>
      </c>
      <c r="H6057" s="2" t="s">
        <v>5752</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6959</v>
      </c>
      <c r="H6058" s="2" t="s">
        <v>5753</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6959</v>
      </c>
      <c r="H6059" s="2" t="s">
        <v>5754</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6959</v>
      </c>
      <c r="H6060" s="2" t="s">
        <v>5731</v>
      </c>
      <c r="S6060" s="8"/>
    </row>
    <row r="6061" spans="1:19" x14ac:dyDescent="0.2">
      <c r="A6061">
        <v>6056</v>
      </c>
      <c r="B6061" s="8">
        <f>'CashSum 5'!J20</f>
        <v>149000</v>
      </c>
      <c r="C6061" s="3">
        <f t="shared" si="167"/>
        <v>-142944</v>
      </c>
      <c r="D6061" s="3" t="s">
        <v>63</v>
      </c>
      <c r="E6061" s="2" t="b">
        <f t="shared" ca="1" si="166"/>
        <v>1</v>
      </c>
      <c r="F6061" s="2" cm="1">
        <f t="array" aca="1" ref="F6061" ca="1">IF(G6061&lt;&gt;"",INDIRECT("'"&amp;G6061&amp;"'!"&amp;H6061),"")</f>
        <v>149000</v>
      </c>
      <c r="G6061" s="1582" t="s">
        <v>6959</v>
      </c>
      <c r="H6061" s="2" t="s">
        <v>5732</v>
      </c>
      <c r="S6061" s="8"/>
    </row>
    <row r="6062" spans="1:19" x14ac:dyDescent="0.2">
      <c r="A6062">
        <v>6057</v>
      </c>
      <c r="B6062" s="8">
        <f>'CashSum 5'!J21</f>
        <v>286639</v>
      </c>
      <c r="C6062" s="3">
        <f t="shared" si="167"/>
        <v>-280582</v>
      </c>
      <c r="D6062" s="3" t="s">
        <v>63</v>
      </c>
      <c r="E6062" s="2" t="b">
        <f t="shared" ca="1" si="166"/>
        <v>1</v>
      </c>
      <c r="F6062" s="2" cm="1">
        <f t="array" aca="1" ref="F6062" ca="1">IF(G6062&lt;&gt;"",INDIRECT("'"&amp;G6062&amp;"'!"&amp;H6062),"")</f>
        <v>286639</v>
      </c>
      <c r="G6062" s="1582" t="s">
        <v>6959</v>
      </c>
      <c r="H6062" s="2" t="s">
        <v>5733</v>
      </c>
      <c r="S6062" s="8"/>
    </row>
    <row r="6063" spans="1:19" x14ac:dyDescent="0.2">
      <c r="A6063">
        <v>6058</v>
      </c>
      <c r="B6063" s="7">
        <f>'EstRev 6-11'!J5</f>
        <v>140000</v>
      </c>
      <c r="C6063" s="3">
        <f t="shared" si="167"/>
        <v>-133942</v>
      </c>
      <c r="D6063" s="3" t="s">
        <v>63</v>
      </c>
      <c r="E6063" s="2" t="b">
        <f t="shared" ca="1" si="166"/>
        <v>1</v>
      </c>
      <c r="F6063" s="2" cm="1">
        <f t="array" aca="1" ref="F6063" ca="1">IF(G6063&lt;&gt;"",INDIRECT("'"&amp;G6063&amp;"'!"&amp;H6063),"")</f>
        <v>140000</v>
      </c>
      <c r="G6063" s="1582" t="s">
        <v>6961</v>
      </c>
      <c r="H6063" s="2" t="s">
        <v>5725</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6961</v>
      </c>
      <c r="H6064" s="2" t="s">
        <v>5090</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6961</v>
      </c>
      <c r="H6065" s="2" t="s">
        <v>5092</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6961</v>
      </c>
      <c r="H6066" s="2" t="s">
        <v>5730</v>
      </c>
    </row>
    <row r="6067" spans="1:8" x14ac:dyDescent="0.2">
      <c r="A6067">
        <v>6062</v>
      </c>
      <c r="B6067" s="7">
        <f>'EstRev 6-11'!J12</f>
        <v>140000</v>
      </c>
      <c r="C6067" s="3">
        <f t="shared" si="167"/>
        <v>-133938</v>
      </c>
      <c r="D6067" s="3" t="s">
        <v>63</v>
      </c>
      <c r="E6067" s="2" t="b">
        <f t="shared" ca="1" si="166"/>
        <v>1</v>
      </c>
      <c r="F6067" s="2" cm="1">
        <f t="array" aca="1" ref="F6067" ca="1">IF(G6067&lt;&gt;"",INDIRECT("'"&amp;G6067&amp;"'!"&amp;H6067),"")</f>
        <v>140000</v>
      </c>
      <c r="G6067" s="1582" t="s">
        <v>6961</v>
      </c>
      <c r="H6067" s="2" t="s">
        <v>5751</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6961</v>
      </c>
      <c r="H6068" s="2" t="s">
        <v>5721</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6961</v>
      </c>
      <c r="H6069" s="2" t="s">
        <v>5755</v>
      </c>
    </row>
    <row r="6070" spans="1:8" x14ac:dyDescent="0.2">
      <c r="A6070">
        <v>6065</v>
      </c>
      <c r="B6070" s="7">
        <f>'EstRev 6-11'!J16</f>
        <v>9000</v>
      </c>
      <c r="C6070" s="3">
        <f t="shared" si="167"/>
        <v>-2935</v>
      </c>
      <c r="D6070" s="3" t="s">
        <v>63</v>
      </c>
      <c r="E6070" s="2" t="b">
        <f t="shared" ca="1" si="166"/>
        <v>1</v>
      </c>
      <c r="F6070" s="2" cm="1">
        <f t="array" aca="1" ref="F6070" ca="1">IF(G6070&lt;&gt;"",INDIRECT("'"&amp;G6070&amp;"'!"&amp;H6070),"")</f>
        <v>9000</v>
      </c>
      <c r="G6070" s="1582" t="s">
        <v>6961</v>
      </c>
      <c r="H6070" s="2" t="s">
        <v>5753</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6961</v>
      </c>
      <c r="H6071" s="2" t="s">
        <v>5754</v>
      </c>
    </row>
    <row r="6072" spans="1:8" x14ac:dyDescent="0.2">
      <c r="A6072">
        <v>6067</v>
      </c>
      <c r="B6072" s="7">
        <f>'EstRev 6-11'!J18</f>
        <v>9000</v>
      </c>
      <c r="C6072" s="3">
        <f t="shared" si="167"/>
        <v>-2933</v>
      </c>
      <c r="D6072" s="3" t="s">
        <v>63</v>
      </c>
      <c r="E6072" s="2" t="b">
        <f t="shared" ca="1" si="166"/>
        <v>1</v>
      </c>
      <c r="F6072" s="2" cm="1">
        <f t="array" aca="1" ref="F6072" ca="1">IF(G6072&lt;&gt;"",INDIRECT("'"&amp;G6072&amp;"'!"&amp;H6072),"")</f>
        <v>9000</v>
      </c>
      <c r="G6072" s="1582" t="s">
        <v>6961</v>
      </c>
      <c r="H6072" s="2" t="s">
        <v>4517</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6961</v>
      </c>
      <c r="H6073" s="2" t="s">
        <v>5756</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6961</v>
      </c>
      <c r="H6074" s="2" t="s">
        <v>5757</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6961</v>
      </c>
      <c r="H6075" s="2" t="s">
        <v>5758</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6961</v>
      </c>
      <c r="H6076" s="2" t="s">
        <v>4520</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6961</v>
      </c>
      <c r="H6077" s="2" t="s">
        <v>4536</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6961</v>
      </c>
      <c r="H6078" s="2" t="s">
        <v>4654</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6961</v>
      </c>
      <c r="H6079" s="2" t="s">
        <v>5759</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6961</v>
      </c>
      <c r="H6080" s="2" t="s">
        <v>5760</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6961</v>
      </c>
      <c r="H6081" s="2" t="s">
        <v>4662</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6961</v>
      </c>
      <c r="H6082" s="2" t="s">
        <v>4665</v>
      </c>
    </row>
    <row r="6083" spans="1:8" x14ac:dyDescent="0.2">
      <c r="A6083">
        <v>6078</v>
      </c>
      <c r="B6083" s="7">
        <f>'EstRev 6-11'!J65</f>
        <v>0</v>
      </c>
      <c r="C6083" s="3">
        <f t="shared" si="167"/>
        <v>6078</v>
      </c>
      <c r="D6083" s="3" t="s">
        <v>63</v>
      </c>
      <c r="E6083" s="2" t="b">
        <f t="shared" ca="1" si="168"/>
        <v>1</v>
      </c>
      <c r="F6083" s="2" cm="1">
        <f t="array" aca="1" ref="F6083" ca="1">IF(G6083&lt;&gt;"",INDIRECT("'"&amp;G6083&amp;"'!"&amp;H6083),"")</f>
        <v>0</v>
      </c>
      <c r="G6083" s="1582" t="s">
        <v>6961</v>
      </c>
      <c r="H6083" s="2" t="s">
        <v>5761</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6961</v>
      </c>
      <c r="H6084" s="2" t="s">
        <v>5762</v>
      </c>
    </row>
    <row r="6085" spans="1:8" x14ac:dyDescent="0.2">
      <c r="A6085">
        <v>6080</v>
      </c>
      <c r="B6085" s="7">
        <f>'EstRev 6-11'!J67</f>
        <v>0</v>
      </c>
      <c r="C6085" s="3">
        <f t="shared" si="167"/>
        <v>6080</v>
      </c>
      <c r="D6085" s="3" t="s">
        <v>63</v>
      </c>
      <c r="E6085" s="2" t="b">
        <f t="shared" ca="1" si="168"/>
        <v>1</v>
      </c>
      <c r="F6085" s="2" cm="1">
        <f t="array" aca="1" ref="F6085" ca="1">IF(G6085&lt;&gt;"",INDIRECT("'"&amp;G6085&amp;"'!"&amp;H6085),"")</f>
        <v>0</v>
      </c>
      <c r="G6085" s="1582" t="s">
        <v>6961</v>
      </c>
      <c r="H6085" s="2" t="s">
        <v>5763</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6961</v>
      </c>
      <c r="H6086" s="2" t="s">
        <v>5764</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6961</v>
      </c>
      <c r="H6087" s="2" t="s">
        <v>5765</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6961</v>
      </c>
      <c r="H6088" s="2" t="s">
        <v>5766</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6961</v>
      </c>
      <c r="H6089" s="2" t="s">
        <v>5767</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6961</v>
      </c>
      <c r="H6090" s="2" t="s">
        <v>5768</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6961</v>
      </c>
      <c r="H6091" s="2" t="s">
        <v>5769</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6961</v>
      </c>
      <c r="H6092" s="2" t="s">
        <v>5770</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6961</v>
      </c>
      <c r="H6093" s="2" t="s">
        <v>5771</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6961</v>
      </c>
      <c r="H6094" s="2" t="s">
        <v>5772</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6961</v>
      </c>
      <c r="H6095" s="2" t="s">
        <v>5773</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82" t="s">
        <v>6961</v>
      </c>
      <c r="H6096" s="2" t="s">
        <v>5774</v>
      </c>
    </row>
    <row r="6097" spans="1:8" x14ac:dyDescent="0.2">
      <c r="A6097">
        <v>6092</v>
      </c>
      <c r="B6097" s="7">
        <f>'EstRev 6-11'!D102</f>
        <v>72781</v>
      </c>
      <c r="C6097" s="3">
        <f t="shared" si="169"/>
        <v>-66689</v>
      </c>
      <c r="D6097" s="3" t="s">
        <v>63</v>
      </c>
      <c r="E6097" s="2" t="b">
        <f t="shared" ca="1" si="168"/>
        <v>1</v>
      </c>
      <c r="F6097" s="2" cm="1">
        <f t="array" aca="1" ref="F6097" ca="1">IF(G6097&lt;&gt;"",INDIRECT("'"&amp;G6097&amp;"'!"&amp;H6097),"")</f>
        <v>72781</v>
      </c>
      <c r="G6097" s="1582" t="s">
        <v>6961</v>
      </c>
      <c r="H6097" s="2" t="s">
        <v>5775</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6961</v>
      </c>
      <c r="H6098" s="2" t="s">
        <v>5776</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6961</v>
      </c>
      <c r="H6099" s="2" t="s">
        <v>5777</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6961</v>
      </c>
      <c r="H6100" s="2" t="s">
        <v>5778</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6961</v>
      </c>
      <c r="H6101" s="2" t="s">
        <v>5779</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6961</v>
      </c>
      <c r="H6102" s="2" t="s">
        <v>5780</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6961</v>
      </c>
      <c r="H6103" s="2" t="s">
        <v>5781</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6961</v>
      </c>
      <c r="H6104" s="2" t="s">
        <v>5067</v>
      </c>
    </row>
    <row r="6105" spans="1:8" x14ac:dyDescent="0.2">
      <c r="A6105">
        <v>6100</v>
      </c>
      <c r="B6105" s="7">
        <f>'EstRev 6-11'!C103</f>
        <v>0</v>
      </c>
      <c r="C6105" s="3">
        <f t="shared" si="169"/>
        <v>6100</v>
      </c>
      <c r="D6105" s="3" t="s">
        <v>63</v>
      </c>
      <c r="E6105" s="2" t="b">
        <f t="shared" ca="1" si="168"/>
        <v>1</v>
      </c>
      <c r="F6105" s="2" cm="1">
        <f t="array" aca="1" ref="F6105" ca="1">IF(G6105&lt;&gt;"",INDIRECT("'"&amp;G6105&amp;"'!"&amp;H6105),"")</f>
        <v>0</v>
      </c>
      <c r="G6105" s="1582" t="s">
        <v>6961</v>
      </c>
      <c r="H6105" s="2" t="s">
        <v>5782</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6961</v>
      </c>
      <c r="H6106" s="2" t="s">
        <v>5783</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6961</v>
      </c>
      <c r="H6107" s="2" t="s">
        <v>5784</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6961</v>
      </c>
      <c r="H6108" s="2" t="s">
        <v>5112</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6961</v>
      </c>
      <c r="H6109" s="2" t="s">
        <v>5785</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6961</v>
      </c>
      <c r="H6110" s="2" t="s">
        <v>5786</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6961</v>
      </c>
      <c r="H6111" s="2" t="s">
        <v>4755</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6961</v>
      </c>
      <c r="H6112" s="2" t="s">
        <v>5787</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6961</v>
      </c>
      <c r="H6113" s="2" t="s">
        <v>5788</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6961</v>
      </c>
      <c r="H6114" s="2" t="s">
        <v>4798</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6961</v>
      </c>
      <c r="H6115" s="2" t="s">
        <v>5789</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6961</v>
      </c>
      <c r="H6116" s="2" t="s">
        <v>5790</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6961</v>
      </c>
      <c r="H6117" s="2" t="s">
        <v>5791</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6961</v>
      </c>
      <c r="H6118" s="2" t="s">
        <v>5792</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6961</v>
      </c>
      <c r="H6119" s="2" t="s">
        <v>5793</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6961</v>
      </c>
      <c r="H6120" s="2" t="s">
        <v>4757</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6961</v>
      </c>
      <c r="H6121" s="2" t="s">
        <v>5794</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6961</v>
      </c>
      <c r="H6122" s="2" t="s">
        <v>4800</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6961</v>
      </c>
      <c r="H6123" s="2" t="s">
        <v>5795</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6961</v>
      </c>
      <c r="H6124" s="2" t="s">
        <v>5796</v>
      </c>
    </row>
    <row r="6125" spans="1:8" x14ac:dyDescent="0.2">
      <c r="A6125">
        <v>6120</v>
      </c>
      <c r="B6125" s="7">
        <f>'EstRev 6-11'!J111</f>
        <v>149000</v>
      </c>
      <c r="C6125" s="3">
        <f t="shared" si="169"/>
        <v>-142880</v>
      </c>
      <c r="D6125" s="3" t="s">
        <v>63</v>
      </c>
      <c r="E6125" s="2" t="b">
        <f t="shared" ca="1" si="168"/>
        <v>1</v>
      </c>
      <c r="F6125" s="2" cm="1">
        <f t="array" aca="1" ref="F6125" ca="1">IF(G6125&lt;&gt;"",INDIRECT("'"&amp;G6125&amp;"'!"&amp;H6125),"")</f>
        <v>149000</v>
      </c>
      <c r="G6125" s="1582" t="s">
        <v>6961</v>
      </c>
      <c r="H6125" s="2" t="s">
        <v>5797</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6961</v>
      </c>
      <c r="H6126" s="2" t="s">
        <v>5798</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6961</v>
      </c>
      <c r="H6128" s="2" t="s">
        <v>5799</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6961</v>
      </c>
      <c r="H6129" s="2" t="s">
        <v>5800</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6961</v>
      </c>
      <c r="H6130" s="2" t="s">
        <v>5801</v>
      </c>
    </row>
    <row r="6131" spans="1:8" x14ac:dyDescent="0.2">
      <c r="A6131">
        <v>6126</v>
      </c>
      <c r="B6131" s="7">
        <f>'EstRev 6-11'!C139</f>
        <v>0</v>
      </c>
      <c r="C6131" s="3">
        <f t="shared" si="169"/>
        <v>6126</v>
      </c>
      <c r="D6131" s="3" t="s">
        <v>63</v>
      </c>
      <c r="E6131" s="2" t="b">
        <f t="shared" ca="1" si="168"/>
        <v>1</v>
      </c>
      <c r="F6131" s="2" cm="1">
        <f t="array" aca="1" ref="F6131" ca="1">IF(G6131&lt;&gt;"",INDIRECT("'"&amp;G6131&amp;"'!"&amp;H6131),"")</f>
        <v>0</v>
      </c>
      <c r="G6131" s="1582" t="s">
        <v>6961</v>
      </c>
      <c r="H6131" s="2" t="s">
        <v>5802</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6961</v>
      </c>
      <c r="H6132" s="2" t="s">
        <v>5803</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6961</v>
      </c>
      <c r="H6133" s="2" t="s">
        <v>5804</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6961</v>
      </c>
      <c r="H6134" s="2" t="s">
        <v>5805</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6961</v>
      </c>
      <c r="H6135" s="2" t="s">
        <v>5806</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6961</v>
      </c>
      <c r="H6136" s="2" t="s">
        <v>5807</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6961</v>
      </c>
      <c r="H6137" s="2" t="s">
        <v>5808</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6961</v>
      </c>
      <c r="H6138" s="2" t="s">
        <v>5809</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6961</v>
      </c>
      <c r="H6139" s="2" t="s">
        <v>5810</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6961</v>
      </c>
      <c r="H6140" s="2" t="s">
        <v>5811</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6961</v>
      </c>
      <c r="H6141" s="2" t="s">
        <v>5812</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6961</v>
      </c>
      <c r="H6142" s="2" t="s">
        <v>5813</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6961</v>
      </c>
      <c r="H6143" s="2" t="s">
        <v>5814</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6961</v>
      </c>
      <c r="H6144" s="2" t="s">
        <v>5815</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6961</v>
      </c>
      <c r="H6145" s="2" t="s">
        <v>5816</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6961</v>
      </c>
      <c r="H6146" s="2" t="s">
        <v>5817</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6961</v>
      </c>
      <c r="H6147" s="2" t="s">
        <v>5818</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6961</v>
      </c>
      <c r="H6148" s="2" t="s">
        <v>5819</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6961</v>
      </c>
      <c r="H6149" s="2" t="s">
        <v>5820</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6961</v>
      </c>
      <c r="H6150" s="2" t="s">
        <v>5821</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6961</v>
      </c>
      <c r="H6151" s="2" t="s">
        <v>5822</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6961</v>
      </c>
      <c r="H6152" s="2" t="s">
        <v>5823</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6961</v>
      </c>
      <c r="H6153" s="2" t="s">
        <v>5824</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6961</v>
      </c>
      <c r="H6154" s="2" t="s">
        <v>4840</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6961</v>
      </c>
      <c r="H6161" s="2" t="s">
        <v>5825</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6961</v>
      </c>
      <c r="H6162" s="2" t="s">
        <v>5826</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6961</v>
      </c>
      <c r="H6163" s="2" t="s">
        <v>5827</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6961</v>
      </c>
      <c r="H6164" s="2" t="s">
        <v>5828</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6961</v>
      </c>
      <c r="H6165" s="2" t="s">
        <v>5829</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6961</v>
      </c>
      <c r="H6166" s="2" t="s">
        <v>5830</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6961</v>
      </c>
      <c r="H6167" s="2" t="s">
        <v>5831</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6961</v>
      </c>
      <c r="H6168" s="2" t="s">
        <v>5832</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6961</v>
      </c>
      <c r="H6169" s="2" t="s">
        <v>5833</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6961</v>
      </c>
      <c r="H6170" s="2" t="s">
        <v>5834</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6961</v>
      </c>
      <c r="H6171" s="2" t="s">
        <v>5835</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6961</v>
      </c>
      <c r="H6172" s="2" t="s">
        <v>5836</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6961</v>
      </c>
      <c r="H6173" s="2" t="s">
        <v>5837</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6961</v>
      </c>
      <c r="H6174" s="2" t="s">
        <v>5838</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6961</v>
      </c>
      <c r="H6175" s="2" t="s">
        <v>5839</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6961</v>
      </c>
      <c r="H6176" s="2" t="s">
        <v>5840</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6961</v>
      </c>
      <c r="H6177" s="2" t="s">
        <v>5841</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6961</v>
      </c>
      <c r="H6178" s="2" t="s">
        <v>5842</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6961</v>
      </c>
      <c r="H6179" s="2" t="s">
        <v>5843</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6961</v>
      </c>
      <c r="H6180" s="2" t="s">
        <v>5844</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6961</v>
      </c>
      <c r="H6181" s="2" t="s">
        <v>5845</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6961</v>
      </c>
      <c r="H6182" s="2" t="s">
        <v>5846</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6961</v>
      </c>
      <c r="H6186" s="2" t="s">
        <v>5847</v>
      </c>
    </row>
    <row r="6187" spans="1:8" x14ac:dyDescent="0.2">
      <c r="A6187">
        <v>6182</v>
      </c>
      <c r="B6187" s="7">
        <f>'EstRev 6-11'!J272</f>
        <v>149000</v>
      </c>
      <c r="C6187" s="3">
        <f t="shared" si="171"/>
        <v>-142818</v>
      </c>
      <c r="D6187" s="3" t="s">
        <v>63</v>
      </c>
      <c r="E6187" s="2" t="b">
        <f t="shared" ca="1" si="170"/>
        <v>1</v>
      </c>
      <c r="F6187" s="2" cm="1">
        <f t="array" aca="1" ref="F6187" ca="1">IF(G6187&lt;&gt;"",INDIRECT("'"&amp;G6187&amp;"'!"&amp;H6187),"")</f>
        <v>149000</v>
      </c>
      <c r="G6187" s="1582" t="s">
        <v>6961</v>
      </c>
      <c r="H6187" s="2" t="s">
        <v>5848</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6960</v>
      </c>
      <c r="H6188" s="2" t="s">
        <v>5206</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6960</v>
      </c>
      <c r="H6189" s="2" t="s">
        <v>5725</v>
      </c>
    </row>
    <row r="6190" spans="1:8" x14ac:dyDescent="0.2">
      <c r="A6190">
        <v>6185</v>
      </c>
      <c r="B6190" s="7">
        <f>'EstExp 12-20'!C7</f>
        <v>48500</v>
      </c>
      <c r="C6190" s="3">
        <f t="shared" si="171"/>
        <v>-42315</v>
      </c>
      <c r="D6190" s="3" t="s">
        <v>63</v>
      </c>
      <c r="E6190" s="2" t="b">
        <f t="shared" ca="1" si="170"/>
        <v>1</v>
      </c>
      <c r="F6190" s="2" cm="1">
        <f t="array" aca="1" ref="F6190" ca="1">IF(G6190&lt;&gt;"",INDIRECT("'"&amp;G6190&amp;"'!"&amp;H6190),"")</f>
        <v>48500</v>
      </c>
      <c r="G6190" s="1582" t="s">
        <v>6960</v>
      </c>
      <c r="H6190" s="2" t="s">
        <v>4419</v>
      </c>
    </row>
    <row r="6191" spans="1:8" x14ac:dyDescent="0.2">
      <c r="A6191">
        <v>6186</v>
      </c>
      <c r="B6191" s="7">
        <f>'EstExp 12-20'!D7</f>
        <v>8100</v>
      </c>
      <c r="C6191" s="3">
        <f t="shared" si="171"/>
        <v>-1914</v>
      </c>
      <c r="D6191" s="3" t="s">
        <v>63</v>
      </c>
      <c r="E6191" s="2" t="b">
        <f t="shared" ca="1" si="170"/>
        <v>1</v>
      </c>
      <c r="F6191" s="2" cm="1">
        <f t="array" aca="1" ref="F6191" ca="1">IF(G6191&lt;&gt;"",INDIRECT("'"&amp;G6191&amp;"'!"&amp;H6191),"")</f>
        <v>8100</v>
      </c>
      <c r="G6191" s="1582" t="s">
        <v>6960</v>
      </c>
      <c r="H6191" s="2" t="s">
        <v>4432</v>
      </c>
    </row>
    <row r="6192" spans="1:8" x14ac:dyDescent="0.2">
      <c r="A6192">
        <v>6187</v>
      </c>
      <c r="B6192" s="7">
        <f>'EstExp 12-20'!E7</f>
        <v>0</v>
      </c>
      <c r="C6192" s="3">
        <f t="shared" si="171"/>
        <v>6187</v>
      </c>
      <c r="D6192" s="3" t="s">
        <v>63</v>
      </c>
      <c r="E6192" s="2" t="b">
        <f t="shared" ca="1" si="170"/>
        <v>1</v>
      </c>
      <c r="F6192" s="2" cm="1">
        <f t="array" aca="1" ref="F6192" ca="1">IF(G6192&lt;&gt;"",INDIRECT("'"&amp;G6192&amp;"'!"&amp;H6192),"")</f>
        <v>0</v>
      </c>
      <c r="G6192" s="1582" t="s">
        <v>6960</v>
      </c>
      <c r="H6192" s="2" t="s">
        <v>5086</v>
      </c>
    </row>
    <row r="6193" spans="1:8" x14ac:dyDescent="0.2">
      <c r="A6193">
        <v>6188</v>
      </c>
      <c r="B6193" s="7">
        <f>'EstExp 12-20'!F7</f>
        <v>5000</v>
      </c>
      <c r="C6193" s="3">
        <f t="shared" si="171"/>
        <v>1188</v>
      </c>
      <c r="D6193" s="3" t="s">
        <v>63</v>
      </c>
      <c r="E6193" s="2" t="b">
        <f t="shared" ca="1" si="170"/>
        <v>1</v>
      </c>
      <c r="F6193" s="2" cm="1">
        <f t="array" aca="1" ref="F6193" ca="1">IF(G6193&lt;&gt;"",INDIRECT("'"&amp;G6193&amp;"'!"&amp;H6193),"")</f>
        <v>5000</v>
      </c>
      <c r="G6193" s="1582" t="s">
        <v>6960</v>
      </c>
      <c r="H6193" s="2" t="s">
        <v>4454</v>
      </c>
    </row>
    <row r="6194" spans="1:8" x14ac:dyDescent="0.2">
      <c r="A6194">
        <v>6189</v>
      </c>
      <c r="B6194" s="7">
        <f>'EstExp 12-20'!G7</f>
        <v>0</v>
      </c>
      <c r="C6194" s="3">
        <f t="shared" si="171"/>
        <v>6189</v>
      </c>
      <c r="D6194" s="3" t="s">
        <v>63</v>
      </c>
      <c r="E6194" s="2" t="b">
        <f t="shared" ca="1" si="170"/>
        <v>1</v>
      </c>
      <c r="F6194" s="2" cm="1">
        <f t="array" aca="1" ref="F6194" ca="1">IF(G6194&lt;&gt;"",INDIRECT("'"&amp;G6194&amp;"'!"&amp;H6194),"")</f>
        <v>0</v>
      </c>
      <c r="G6194" s="1582" t="s">
        <v>6960</v>
      </c>
      <c r="H6194" s="2" t="s">
        <v>5082</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6960</v>
      </c>
      <c r="H6195" s="2" t="s">
        <v>5090</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6960</v>
      </c>
      <c r="H6196" s="2" t="s">
        <v>4484</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6960</v>
      </c>
      <c r="H6197" s="2" t="s">
        <v>5726</v>
      </c>
    </row>
    <row r="6198" spans="1:8" x14ac:dyDescent="0.2">
      <c r="A6198">
        <v>6193</v>
      </c>
      <c r="B6198" s="7">
        <f>'EstExp 12-20'!K7</f>
        <v>61600</v>
      </c>
      <c r="C6198" s="3">
        <f t="shared" si="171"/>
        <v>-55407</v>
      </c>
      <c r="D6198" s="3" t="s">
        <v>63</v>
      </c>
      <c r="E6198" s="2" t="b">
        <f t="shared" ca="1" si="170"/>
        <v>1</v>
      </c>
      <c r="F6198" s="2" cm="1">
        <f t="array" aca="1" ref="F6198" ca="1">IF(G6198&lt;&gt;"",INDIRECT("'"&amp;G6198&amp;"'!"&amp;H6198),"")</f>
        <v>61600</v>
      </c>
      <c r="G6198" s="1582" t="s">
        <v>6960</v>
      </c>
      <c r="H6198" s="2" t="s">
        <v>5259</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6960</v>
      </c>
      <c r="H6199" s="2" t="s">
        <v>5428</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6960</v>
      </c>
      <c r="H6200" s="2" t="s">
        <v>5727</v>
      </c>
    </row>
    <row r="6201" spans="1:8" x14ac:dyDescent="0.2">
      <c r="A6201">
        <v>6196</v>
      </c>
      <c r="B6201" s="7">
        <f>'EstExp 12-20'!C9</f>
        <v>0</v>
      </c>
      <c r="C6201" s="3">
        <f t="shared" si="171"/>
        <v>6196</v>
      </c>
      <c r="D6201" s="3" t="s">
        <v>63</v>
      </c>
      <c r="E6201" s="2" t="b">
        <f t="shared" ca="1" si="170"/>
        <v>1</v>
      </c>
      <c r="F6201" s="2" cm="1">
        <f t="array" aca="1" ref="F6201" ca="1">IF(G6201&lt;&gt;"",INDIRECT("'"&amp;G6201&amp;"'!"&amp;H6201),"")</f>
        <v>0</v>
      </c>
      <c r="G6201" s="1582" t="s">
        <v>6960</v>
      </c>
      <c r="H6201" s="2" t="s">
        <v>5075</v>
      </c>
    </row>
    <row r="6202" spans="1:8" x14ac:dyDescent="0.2">
      <c r="A6202">
        <v>6197</v>
      </c>
      <c r="B6202" s="7">
        <f>'EstExp 12-20'!D9</f>
        <v>0</v>
      </c>
      <c r="C6202" s="3">
        <f t="shared" si="171"/>
        <v>6197</v>
      </c>
      <c r="D6202" s="3" t="s">
        <v>63</v>
      </c>
      <c r="E6202" s="2" t="b">
        <f t="shared" ca="1" si="170"/>
        <v>1</v>
      </c>
      <c r="F6202" s="2" cm="1">
        <f t="array" aca="1" ref="F6202" ca="1">IF(G6202&lt;&gt;"",INDIRECT("'"&amp;G6202&amp;"'!"&amp;H6202),"")</f>
        <v>0</v>
      </c>
      <c r="G6202" s="1582" t="s">
        <v>6960</v>
      </c>
      <c r="H6202" s="2" t="s">
        <v>5077</v>
      </c>
    </row>
    <row r="6203" spans="1:8" x14ac:dyDescent="0.2">
      <c r="A6203">
        <v>6198</v>
      </c>
      <c r="B6203" s="7">
        <f>'EstExp 12-20'!E9</f>
        <v>0</v>
      </c>
      <c r="C6203" s="3">
        <f t="shared" si="171"/>
        <v>6198</v>
      </c>
      <c r="D6203" s="3" t="s">
        <v>63</v>
      </c>
      <c r="E6203" s="2" t="b">
        <f t="shared" ca="1" si="170"/>
        <v>1</v>
      </c>
      <c r="F6203" s="2" cm="1">
        <f t="array" aca="1" ref="F6203" ca="1">IF(G6203&lt;&gt;"",INDIRECT("'"&amp;G6203&amp;"'!"&amp;H6203),"")</f>
        <v>0</v>
      </c>
      <c r="G6203" s="1582" t="s">
        <v>6960</v>
      </c>
      <c r="H6203" s="2" t="s">
        <v>5087</v>
      </c>
    </row>
    <row r="6204" spans="1:8" x14ac:dyDescent="0.2">
      <c r="A6204">
        <v>6199</v>
      </c>
      <c r="B6204" s="7">
        <f>'EstExp 12-20'!F9</f>
        <v>0</v>
      </c>
      <c r="C6204" s="3">
        <f t="shared" si="171"/>
        <v>6199</v>
      </c>
      <c r="D6204" s="3" t="s">
        <v>63</v>
      </c>
      <c r="E6204" s="2" t="b">
        <f t="shared" ca="1" si="170"/>
        <v>1</v>
      </c>
      <c r="F6204" s="2" cm="1">
        <f t="array" aca="1" ref="F6204" ca="1">IF(G6204&lt;&gt;"",INDIRECT("'"&amp;G6204&amp;"'!"&amp;H6204),"")</f>
        <v>0</v>
      </c>
      <c r="G6204" s="1582" t="s">
        <v>6960</v>
      </c>
      <c r="H6204" s="2" t="s">
        <v>5080</v>
      </c>
    </row>
    <row r="6205" spans="1:8" x14ac:dyDescent="0.2">
      <c r="A6205">
        <v>6200</v>
      </c>
      <c r="B6205" s="7">
        <f>'EstExp 12-20'!G9</f>
        <v>0</v>
      </c>
      <c r="C6205" s="3">
        <f t="shared" si="171"/>
        <v>6200</v>
      </c>
      <c r="D6205" s="3" t="s">
        <v>63</v>
      </c>
      <c r="E6205" s="2" t="b">
        <f t="shared" ca="1" si="170"/>
        <v>1</v>
      </c>
      <c r="F6205" s="2" cm="1">
        <f t="array" aca="1" ref="F6205" ca="1">IF(G6205&lt;&gt;"",INDIRECT("'"&amp;G6205&amp;"'!"&amp;H6205),"")</f>
        <v>0</v>
      </c>
      <c r="G6205" s="1582" t="s">
        <v>6960</v>
      </c>
      <c r="H6205" s="2" t="s">
        <v>5084</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6960</v>
      </c>
      <c r="H6206" s="2" t="s">
        <v>5092</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6960</v>
      </c>
      <c r="H6207" s="2" t="s">
        <v>5207</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6960</v>
      </c>
      <c r="H6208" s="2" t="s">
        <v>5728</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82" t="s">
        <v>6960</v>
      </c>
      <c r="H6209" s="2" t="s">
        <v>5260</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6960</v>
      </c>
      <c r="H6210" s="2" t="s">
        <v>4485</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6960</v>
      </c>
      <c r="H6211" s="2" t="s">
        <v>5729</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6960</v>
      </c>
      <c r="H6212" s="2" t="s">
        <v>4421</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6960</v>
      </c>
      <c r="H6213" s="2" t="s">
        <v>4434</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6960</v>
      </c>
      <c r="H6214" s="2" t="s">
        <v>4445</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6960</v>
      </c>
      <c r="H6215" s="2" t="s">
        <v>4456</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6960</v>
      </c>
      <c r="H6216" s="2" t="s">
        <v>4467</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6960</v>
      </c>
      <c r="H6217" s="2" t="s">
        <v>4477</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6960</v>
      </c>
      <c r="H6218" s="2" t="s">
        <v>4486</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6960</v>
      </c>
      <c r="H6219" s="2" t="s">
        <v>5730</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6960</v>
      </c>
      <c r="H6220" s="2" t="s">
        <v>4495</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6960</v>
      </c>
      <c r="H6221" s="2" t="s">
        <v>4487</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6960</v>
      </c>
      <c r="H6222" s="2" t="s">
        <v>5751</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6960</v>
      </c>
      <c r="H6223" s="2" t="s">
        <v>4488</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6960</v>
      </c>
      <c r="H6224" s="2" t="s">
        <v>5752</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6960</v>
      </c>
      <c r="H6225" s="2" t="s">
        <v>5703</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6960</v>
      </c>
      <c r="H6226" s="2" t="s">
        <v>5721</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6960</v>
      </c>
      <c r="H6227" s="2" t="s">
        <v>4489</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6960</v>
      </c>
      <c r="H6228" s="2" t="s">
        <v>5755</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6960</v>
      </c>
      <c r="H6229" s="2" t="s">
        <v>5704</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6960</v>
      </c>
      <c r="H6230" s="2" t="s">
        <v>5753</v>
      </c>
    </row>
    <row r="6231" spans="1:8" x14ac:dyDescent="0.2">
      <c r="A6231">
        <v>6226</v>
      </c>
      <c r="B6231" s="7">
        <f>'EstExp 12-20'!C17</f>
        <v>41000</v>
      </c>
      <c r="C6231" s="3">
        <f t="shared" si="173"/>
        <v>-34774</v>
      </c>
      <c r="D6231" s="3" t="s">
        <v>63</v>
      </c>
      <c r="E6231" s="2" t="b">
        <f t="shared" ca="1" si="172"/>
        <v>1</v>
      </c>
      <c r="F6231" s="2" cm="1">
        <f t="array" aca="1" ref="F6231" ca="1">IF(G6231&lt;&gt;"",INDIRECT("'"&amp;G6231&amp;"'!"&amp;H6231),"")</f>
        <v>41000</v>
      </c>
      <c r="G6231" s="1582" t="s">
        <v>6960</v>
      </c>
      <c r="H6231" s="2" t="s">
        <v>4426</v>
      </c>
    </row>
    <row r="6232" spans="1:8" x14ac:dyDescent="0.2">
      <c r="A6232">
        <v>6227</v>
      </c>
      <c r="B6232" s="7">
        <f>'EstExp 12-20'!D17</f>
        <v>500</v>
      </c>
      <c r="C6232" s="3">
        <f t="shared" si="173"/>
        <v>5727</v>
      </c>
      <c r="D6232" s="3" t="s">
        <v>63</v>
      </c>
      <c r="E6232" s="2" t="b">
        <f t="shared" ca="1" si="172"/>
        <v>1</v>
      </c>
      <c r="F6232" s="2" cm="1">
        <f t="array" aca="1" ref="F6232" ca="1">IF(G6232&lt;&gt;"",INDIRECT("'"&amp;G6232&amp;"'!"&amp;H6232),"")</f>
        <v>500</v>
      </c>
      <c r="G6232" s="1582" t="s">
        <v>6960</v>
      </c>
      <c r="H6232" s="2" t="s">
        <v>4439</v>
      </c>
    </row>
    <row r="6233" spans="1:8" x14ac:dyDescent="0.2">
      <c r="A6233">
        <v>6228</v>
      </c>
      <c r="B6233" s="7">
        <f>'EstExp 12-20'!E17</f>
        <v>2000</v>
      </c>
      <c r="C6233" s="3">
        <f t="shared" si="173"/>
        <v>4228</v>
      </c>
      <c r="D6233" s="3" t="s">
        <v>63</v>
      </c>
      <c r="E6233" s="2" t="b">
        <f t="shared" ca="1" si="172"/>
        <v>1</v>
      </c>
      <c r="F6233" s="2" cm="1">
        <f t="array" aca="1" ref="F6233" ca="1">IF(G6233&lt;&gt;"",INDIRECT("'"&amp;G6233&amp;"'!"&amp;H6233),"")</f>
        <v>2000</v>
      </c>
      <c r="G6233" s="1582" t="s">
        <v>6960</v>
      </c>
      <c r="H6233" s="2" t="s">
        <v>5088</v>
      </c>
    </row>
    <row r="6234" spans="1:8" x14ac:dyDescent="0.2">
      <c r="A6234">
        <v>6229</v>
      </c>
      <c r="B6234" s="7">
        <f>'EstExp 12-20'!F17</f>
        <v>1700</v>
      </c>
      <c r="C6234" s="3">
        <f t="shared" si="173"/>
        <v>4529</v>
      </c>
      <c r="D6234" s="3" t="s">
        <v>63</v>
      </c>
      <c r="E6234" s="2" t="b">
        <f t="shared" ca="1" si="172"/>
        <v>1</v>
      </c>
      <c r="F6234" s="2" cm="1">
        <f t="array" aca="1" ref="F6234" ca="1">IF(G6234&lt;&gt;"",INDIRECT("'"&amp;G6234&amp;"'!"&amp;H6234),"")</f>
        <v>1700</v>
      </c>
      <c r="G6234" s="1582" t="s">
        <v>6960</v>
      </c>
      <c r="H6234" s="2" t="s">
        <v>4461</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6960</v>
      </c>
      <c r="H6235" s="2" t="s">
        <v>4471</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6960</v>
      </c>
      <c r="H6236" s="2" t="s">
        <v>5693</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6960</v>
      </c>
      <c r="H6237" s="2" t="s">
        <v>5705</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6960</v>
      </c>
      <c r="H6238" s="2" t="s">
        <v>5754</v>
      </c>
    </row>
    <row r="6239" spans="1:8" x14ac:dyDescent="0.2">
      <c r="A6239">
        <v>6234</v>
      </c>
      <c r="B6239" s="7">
        <f>'EstExp 12-20'!K17</f>
        <v>45200</v>
      </c>
      <c r="C6239" s="3">
        <f t="shared" si="173"/>
        <v>-38966</v>
      </c>
      <c r="D6239" s="3" t="s">
        <v>63</v>
      </c>
      <c r="E6239" s="2" t="b">
        <f t="shared" ca="1" si="172"/>
        <v>1</v>
      </c>
      <c r="F6239" s="2" cm="1">
        <f t="array" aca="1" ref="F6239" ca="1">IF(G6239&lt;&gt;"",INDIRECT("'"&amp;G6239&amp;"'!"&amp;H6239),"")</f>
        <v>45200</v>
      </c>
      <c r="G6239" s="1582" t="s">
        <v>6960</v>
      </c>
      <c r="H6239" s="2" t="s">
        <v>4499</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6960</v>
      </c>
      <c r="H6240" s="2" t="s">
        <v>5706</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6960</v>
      </c>
      <c r="H6241" s="2" t="s">
        <v>4490</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6960</v>
      </c>
      <c r="H6242" s="2" t="s">
        <v>5731</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6960</v>
      </c>
      <c r="H6243" s="2" t="s">
        <v>4481</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6960</v>
      </c>
      <c r="H6244" s="2" t="s">
        <v>4501</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6960</v>
      </c>
      <c r="H6245" s="2" t="s">
        <v>4482</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6960</v>
      </c>
      <c r="H6246" s="2" t="s">
        <v>4502</v>
      </c>
    </row>
    <row r="6247" spans="1:8" x14ac:dyDescent="0.2">
      <c r="A6247">
        <v>6242</v>
      </c>
      <c r="B6247" s="7">
        <f>'EstExp 12-20'!H22</f>
        <v>0</v>
      </c>
      <c r="C6247" s="3">
        <f t="shared" si="173"/>
        <v>6242</v>
      </c>
      <c r="D6247" s="3" t="s">
        <v>63</v>
      </c>
      <c r="E6247" s="2" t="b">
        <f t="shared" ca="1" si="172"/>
        <v>1</v>
      </c>
      <c r="F6247" s="2" cm="1">
        <f t="array" aca="1" ref="F6247" ca="1">IF(G6247&lt;&gt;"",INDIRECT("'"&amp;G6247&amp;"'!"&amp;H6247),"")</f>
        <v>0</v>
      </c>
      <c r="G6247" s="1582" t="s">
        <v>6960</v>
      </c>
      <c r="H6247" s="2" t="s">
        <v>5093</v>
      </c>
    </row>
    <row r="6248" spans="1:8" x14ac:dyDescent="0.2">
      <c r="A6248">
        <v>6243</v>
      </c>
      <c r="B6248" s="7">
        <f>'EstExp 12-20'!K22</f>
        <v>0</v>
      </c>
      <c r="C6248" s="3">
        <f t="shared" si="173"/>
        <v>6243</v>
      </c>
      <c r="D6248" s="3" t="s">
        <v>63</v>
      </c>
      <c r="E6248" s="2" t="b">
        <f t="shared" ca="1" si="172"/>
        <v>1</v>
      </c>
      <c r="F6248" s="2" cm="1">
        <f t="array" aca="1" ref="F6248" ca="1">IF(G6248&lt;&gt;"",INDIRECT("'"&amp;G6248&amp;"'!"&amp;H6248),"")</f>
        <v>0</v>
      </c>
      <c r="G6248" s="1582" t="s">
        <v>6960</v>
      </c>
      <c r="H6248" s="2" t="s">
        <v>5261</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6960</v>
      </c>
      <c r="H6249" s="2" t="s">
        <v>5849</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6960</v>
      </c>
      <c r="H6250" s="2" t="s">
        <v>5850</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6960</v>
      </c>
      <c r="H6251" s="2" t="s">
        <v>5851</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6960</v>
      </c>
      <c r="H6252" s="2" t="s">
        <v>5852</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6960</v>
      </c>
      <c r="H6253" s="2" t="s">
        <v>5853</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6960</v>
      </c>
      <c r="H6254" s="2" t="s">
        <v>5854</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6960</v>
      </c>
      <c r="H6255" s="2" t="s">
        <v>5855</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6960</v>
      </c>
      <c r="H6256" s="2" t="s">
        <v>5856</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6960</v>
      </c>
      <c r="H6257" s="2" t="s">
        <v>5857</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6960</v>
      </c>
      <c r="H6258" s="2" t="s">
        <v>5858</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6960</v>
      </c>
      <c r="H6259" s="2" t="s">
        <v>5257</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6960</v>
      </c>
      <c r="H6260" s="2" t="s">
        <v>5262</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6960</v>
      </c>
      <c r="H6261" s="2" t="s">
        <v>5859</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6960</v>
      </c>
      <c r="H6262" s="2" t="s">
        <v>5860</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6960</v>
      </c>
      <c r="H6263" s="2" t="s">
        <v>5109</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6960</v>
      </c>
      <c r="H6264" s="2" t="s">
        <v>5263</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6960</v>
      </c>
      <c r="H6265" s="2" t="s">
        <v>5861</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6960</v>
      </c>
      <c r="H6266" s="2" t="s">
        <v>5862</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6960</v>
      </c>
      <c r="H6267" s="2" t="s">
        <v>5863</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6960</v>
      </c>
      <c r="H6268" s="2" t="s">
        <v>5864</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6960</v>
      </c>
      <c r="H6269" s="2" t="s">
        <v>5865</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6960</v>
      </c>
      <c r="H6270" s="2" t="s">
        <v>5866</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6960</v>
      </c>
      <c r="H6271" s="2" t="s">
        <v>5867</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6960</v>
      </c>
      <c r="H6272" s="2" t="s">
        <v>5740</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6960</v>
      </c>
      <c r="H6273" s="2" t="s">
        <v>5868</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6960</v>
      </c>
      <c r="H6274" s="2" t="s">
        <v>5869</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6960</v>
      </c>
      <c r="H6275" s="2" t="s">
        <v>5870</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6960</v>
      </c>
      <c r="H6276" s="2" t="s">
        <v>5871</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6960</v>
      </c>
      <c r="H6277" s="2" t="s">
        <v>5872</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6960</v>
      </c>
      <c r="H6278" s="2" t="s">
        <v>5873</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6960</v>
      </c>
      <c r="H6279" s="2" t="s">
        <v>5874</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6960</v>
      </c>
      <c r="H6280" s="2" t="s">
        <v>5875</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6960</v>
      </c>
      <c r="H6281" s="2" t="s">
        <v>5876</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6960</v>
      </c>
      <c r="H6282" s="2" t="s">
        <v>5877</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6960</v>
      </c>
      <c r="H6283" s="2" t="s">
        <v>5878</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6960</v>
      </c>
      <c r="H6284" s="2" t="s">
        <v>5879</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6960</v>
      </c>
      <c r="H6285" s="2" t="s">
        <v>5231</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6960</v>
      </c>
      <c r="H6286" s="2" t="s">
        <v>5741</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6960</v>
      </c>
      <c r="H6287" s="2" t="s">
        <v>5880</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6960</v>
      </c>
      <c r="H6288" s="2" t="s">
        <v>5881</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6960</v>
      </c>
      <c r="H6289" s="2" t="s">
        <v>5882</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6960</v>
      </c>
      <c r="H6290" s="2" t="s">
        <v>5883</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6960</v>
      </c>
      <c r="H6291" s="2" t="s">
        <v>5884</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6960</v>
      </c>
      <c r="H6292" s="2" t="s">
        <v>5885</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6960</v>
      </c>
      <c r="H6293" s="2" t="s">
        <v>5074</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6960</v>
      </c>
      <c r="H6294" s="2" t="s">
        <v>5886</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6960</v>
      </c>
      <c r="H6295" s="2" t="s">
        <v>5887</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6960</v>
      </c>
      <c r="H6296" s="2" t="s">
        <v>5888</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6960</v>
      </c>
      <c r="H6297" s="2" t="s">
        <v>5889</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6960</v>
      </c>
      <c r="H6298" s="2" t="s">
        <v>5723</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6960</v>
      </c>
      <c r="H6299" s="2" t="s">
        <v>5890</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6960</v>
      </c>
      <c r="H6300" s="2" t="s">
        <v>5891</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6960</v>
      </c>
      <c r="H6301" s="2" t="s">
        <v>5892</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6960</v>
      </c>
      <c r="H6302" s="2" t="s">
        <v>5893</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6960</v>
      </c>
      <c r="H6303" s="2" t="s">
        <v>5894</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6960</v>
      </c>
      <c r="H6304" s="2" t="s">
        <v>5895</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6960</v>
      </c>
      <c r="H6305" s="2" t="s">
        <v>5896</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6960</v>
      </c>
      <c r="H6306" s="2" t="s">
        <v>5897</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6960</v>
      </c>
      <c r="H6307" s="2" t="s">
        <v>5898</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6960</v>
      </c>
      <c r="H6308" s="2" t="s">
        <v>5899</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6960</v>
      </c>
      <c r="H6309" s="2" t="s">
        <v>5900</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6960</v>
      </c>
      <c r="H6310" s="2" t="s">
        <v>5901</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6960</v>
      </c>
      <c r="H6311" s="2" t="s">
        <v>5902</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6960</v>
      </c>
      <c r="H6312" s="2" t="s">
        <v>5903</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6960</v>
      </c>
      <c r="H6313" s="2" t="s">
        <v>5904</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6960</v>
      </c>
      <c r="H6314" s="2" t="s">
        <v>5905</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6960</v>
      </c>
      <c r="H6315" s="2" t="s">
        <v>5707</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6960</v>
      </c>
      <c r="H6316" s="2" t="s">
        <v>5761</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6960</v>
      </c>
      <c r="H6317" s="2" t="s">
        <v>5708</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6960</v>
      </c>
      <c r="H6318" s="2" t="s">
        <v>5762</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6960</v>
      </c>
      <c r="H6319" s="2" t="s">
        <v>5709</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6960</v>
      </c>
      <c r="H6320" s="2" t="s">
        <v>5763</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6960</v>
      </c>
      <c r="H6321" s="2" t="s">
        <v>5906</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6960</v>
      </c>
      <c r="H6322" s="2" t="s">
        <v>5907</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6960</v>
      </c>
      <c r="H6323" s="2" t="s">
        <v>5908</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6960</v>
      </c>
      <c r="H6324" s="2" t="s">
        <v>5909</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6960</v>
      </c>
      <c r="H6325" s="2" t="s">
        <v>5910</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6960</v>
      </c>
      <c r="H6326" s="2" t="s">
        <v>5911</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6960</v>
      </c>
      <c r="H6327" s="2" t="s">
        <v>5912</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6960</v>
      </c>
      <c r="H6328" s="2" t="s">
        <v>5913</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6960</v>
      </c>
      <c r="H6329" s="2" t="s">
        <v>5914</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6960</v>
      </c>
      <c r="H6330" s="2" t="s">
        <v>5915</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6960</v>
      </c>
      <c r="H6331" s="2" t="s">
        <v>5916</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6960</v>
      </c>
      <c r="H6332" s="2" t="s">
        <v>5917</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6960</v>
      </c>
      <c r="H6333" s="2" t="s">
        <v>5918</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6960</v>
      </c>
      <c r="H6334" s="2" t="s">
        <v>5919</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6960</v>
      </c>
      <c r="H6335" s="2" t="s">
        <v>5920</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6960</v>
      </c>
      <c r="H6336" s="2" t="s">
        <v>5921</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6960</v>
      </c>
      <c r="H6337" s="2" t="s">
        <v>5922</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6960</v>
      </c>
      <c r="H6338" s="2" t="s">
        <v>5923</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82" t="s">
        <v>6960</v>
      </c>
      <c r="H6339" s="2" t="s">
        <v>5924</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82" t="s">
        <v>6960</v>
      </c>
      <c r="H6340" s="2" t="s">
        <v>5925</v>
      </c>
    </row>
    <row r="6341" spans="1:8" x14ac:dyDescent="0.2">
      <c r="A6341">
        <v>6336</v>
      </c>
      <c r="B6341" s="7">
        <f>'EstExp 12-20'!H88</f>
        <v>100000</v>
      </c>
      <c r="C6341" s="3">
        <f t="shared" si="175"/>
        <v>-93664</v>
      </c>
      <c r="D6341" s="3" t="s">
        <v>63</v>
      </c>
      <c r="E6341" s="2" t="b">
        <f t="shared" ca="1" si="176"/>
        <v>1</v>
      </c>
      <c r="F6341" s="2" cm="1">
        <f t="array" aca="1" ref="F6341" ca="1">IF(G6341&lt;&gt;"",INDIRECT("'"&amp;G6341&amp;"'!"&amp;H6341),"")</f>
        <v>100000</v>
      </c>
      <c r="G6341" s="1582" t="s">
        <v>6960</v>
      </c>
      <c r="H6341" s="2" t="s">
        <v>5926</v>
      </c>
    </row>
    <row r="6342" spans="1:8" x14ac:dyDescent="0.2">
      <c r="A6342">
        <v>6337</v>
      </c>
      <c r="B6342" s="7">
        <f>'EstExp 12-20'!K88</f>
        <v>100000</v>
      </c>
      <c r="C6342" s="3">
        <f t="shared" si="175"/>
        <v>-93663</v>
      </c>
      <c r="D6342" s="3" t="s">
        <v>63</v>
      </c>
      <c r="E6342" s="2" t="b">
        <f t="shared" ca="1" si="176"/>
        <v>1</v>
      </c>
      <c r="F6342" s="2" cm="1">
        <f t="array" aca="1" ref="F6342" ca="1">IF(G6342&lt;&gt;"",INDIRECT("'"&amp;G6342&amp;"'!"&amp;H6342),"")</f>
        <v>100000</v>
      </c>
      <c r="G6342" s="1582" t="s">
        <v>6960</v>
      </c>
      <c r="H6342" s="2" t="s">
        <v>5927</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6960</v>
      </c>
      <c r="H6343" s="2" t="s">
        <v>5928</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6960</v>
      </c>
      <c r="H6344" s="2" t="s">
        <v>5929</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6960</v>
      </c>
      <c r="H6345" s="2" t="s">
        <v>5930</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6960</v>
      </c>
      <c r="H6346" s="2" t="s">
        <v>5931</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6960</v>
      </c>
      <c r="H6347" s="2" t="s">
        <v>5932</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6960</v>
      </c>
      <c r="H6348" s="2" t="s">
        <v>5933</v>
      </c>
    </row>
    <row r="6349" spans="1:8" x14ac:dyDescent="0.2">
      <c r="A6349">
        <v>6344</v>
      </c>
      <c r="B6349" s="7">
        <f>'EstExp 12-20'!H92</f>
        <v>626800</v>
      </c>
      <c r="C6349" s="3">
        <f t="shared" si="177"/>
        <v>-620456</v>
      </c>
      <c r="D6349" s="3" t="s">
        <v>63</v>
      </c>
      <c r="E6349" s="2" t="b">
        <f t="shared" ca="1" si="176"/>
        <v>1</v>
      </c>
      <c r="F6349" s="2" cm="1">
        <f t="array" aca="1" ref="F6349" ca="1">IF(G6349&lt;&gt;"",INDIRECT("'"&amp;G6349&amp;"'!"&amp;H6349),"")</f>
        <v>626800</v>
      </c>
      <c r="G6349" s="1582" t="s">
        <v>6960</v>
      </c>
      <c r="H6349" s="2" t="s">
        <v>5934</v>
      </c>
    </row>
    <row r="6350" spans="1:8" x14ac:dyDescent="0.2">
      <c r="A6350">
        <v>6345</v>
      </c>
      <c r="B6350" s="7">
        <f>'EstExp 12-20'!K92</f>
        <v>626800</v>
      </c>
      <c r="C6350" s="3">
        <f t="shared" si="177"/>
        <v>-620455</v>
      </c>
      <c r="D6350" s="3" t="s">
        <v>63</v>
      </c>
      <c r="E6350" s="2" t="b">
        <f t="shared" ca="1" si="176"/>
        <v>1</v>
      </c>
      <c r="F6350" s="2" cm="1">
        <f t="array" aca="1" ref="F6350" ca="1">IF(G6350&lt;&gt;"",INDIRECT("'"&amp;G6350&amp;"'!"&amp;H6350),"")</f>
        <v>626800</v>
      </c>
      <c r="G6350" s="1582" t="s">
        <v>6960</v>
      </c>
      <c r="H6350" s="2" t="s">
        <v>5935</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6960</v>
      </c>
      <c r="H6351" s="2" t="s">
        <v>5936</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6960</v>
      </c>
      <c r="H6352" s="2" t="s">
        <v>5937</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6960</v>
      </c>
      <c r="H6353" s="2" t="s">
        <v>5938</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6960</v>
      </c>
      <c r="H6354" s="2" t="s">
        <v>5939</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6960</v>
      </c>
      <c r="H6355" s="2" t="s">
        <v>5940</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6960</v>
      </c>
      <c r="H6356" s="2" t="s">
        <v>5941</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6960</v>
      </c>
      <c r="H6357" s="2" t="s">
        <v>5942</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6960</v>
      </c>
      <c r="H6358" s="2" t="s">
        <v>5943</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6960</v>
      </c>
      <c r="H6359" s="2" t="s">
        <v>5694</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6960</v>
      </c>
      <c r="H6360" s="2" t="s">
        <v>5714</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6960</v>
      </c>
      <c r="H6361" s="2" t="s">
        <v>5769</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6960</v>
      </c>
      <c r="H6362" s="2" t="s">
        <v>5772</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6960</v>
      </c>
      <c r="H6363" s="2" t="s">
        <v>5944</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6960</v>
      </c>
      <c r="H6364" s="2" t="s">
        <v>5945</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6960</v>
      </c>
      <c r="H6365" s="2" t="s">
        <v>5602</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6960</v>
      </c>
      <c r="H6366" s="2" t="s">
        <v>5695</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6960</v>
      </c>
      <c r="H6367" s="2" t="s">
        <v>5715</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6960</v>
      </c>
      <c r="H6368" s="2" t="s">
        <v>5946</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6960</v>
      </c>
      <c r="H6369" s="2" t="s">
        <v>5947</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6960</v>
      </c>
      <c r="H6370" s="2" t="s">
        <v>5948</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6960</v>
      </c>
      <c r="H6371" s="2" t="s">
        <v>5949</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6960</v>
      </c>
      <c r="H6372" s="2" t="s">
        <v>5801</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6960</v>
      </c>
      <c r="H6373" s="2" t="s">
        <v>5950</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6960</v>
      </c>
      <c r="H6374" s="2" t="s">
        <v>5951</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6960</v>
      </c>
      <c r="H6375" s="2" t="s">
        <v>5952</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6960</v>
      </c>
      <c r="H6376" s="2" t="s">
        <v>5953</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6960</v>
      </c>
      <c r="H6377" s="2" t="s">
        <v>5954</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6960</v>
      </c>
      <c r="H6378" s="2" t="s">
        <v>5955</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6960</v>
      </c>
      <c r="H6379" s="2" t="s">
        <v>5956</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6960</v>
      </c>
      <c r="H6380" s="2" t="s">
        <v>5957</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6960</v>
      </c>
      <c r="H6381" s="2" t="s">
        <v>5958</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6960</v>
      </c>
      <c r="H6382" s="2" t="s">
        <v>5959</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6960</v>
      </c>
      <c r="H6383" s="2" t="s">
        <v>5960</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6960</v>
      </c>
      <c r="H6384" s="2" t="s">
        <v>5961</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6960</v>
      </c>
      <c r="H6385" s="2" t="s">
        <v>5962</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6960</v>
      </c>
      <c r="H6386" s="2" t="s">
        <v>5963</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6960</v>
      </c>
      <c r="H6387" s="2" t="s">
        <v>5964</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6960</v>
      </c>
      <c r="H6388" s="2" t="s">
        <v>5965</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6960</v>
      </c>
      <c r="H6389" s="2" t="s">
        <v>5966</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6960</v>
      </c>
      <c r="H6390" s="2" t="s">
        <v>5967</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6960</v>
      </c>
      <c r="H6391" s="2" t="s">
        <v>5968</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6960</v>
      </c>
      <c r="H6396" s="2" t="s">
        <v>5969</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6960</v>
      </c>
      <c r="H6397" s="2" t="s">
        <v>5970</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6960</v>
      </c>
      <c r="H6398" s="2" t="s">
        <v>5971</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6960</v>
      </c>
      <c r="H6399" s="2" t="s">
        <v>5972</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6960</v>
      </c>
      <c r="H6400" s="2" t="s">
        <v>5973</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6960</v>
      </c>
      <c r="H6401" s="2" t="s">
        <v>5974</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6960</v>
      </c>
      <c r="H6402" s="2" t="s">
        <v>5975</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6960</v>
      </c>
      <c r="H6403" s="2" t="s">
        <v>5976</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6960</v>
      </c>
      <c r="H6404" s="2" t="s">
        <v>5977</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6960</v>
      </c>
      <c r="H6405" s="2" t="s">
        <v>5978</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6960</v>
      </c>
      <c r="H6406" s="2" t="s">
        <v>5979</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6960</v>
      </c>
      <c r="H6407" s="2" t="s">
        <v>5980</v>
      </c>
    </row>
    <row r="6408" spans="1:8" x14ac:dyDescent="0.2">
      <c r="A6408">
        <v>6403</v>
      </c>
      <c r="B6408" s="7">
        <f>'EstExp 12-20'!D220</f>
        <v>600</v>
      </c>
      <c r="C6408" s="3">
        <f t="shared" ref="C6408:C6471" si="179">A6408-B6408</f>
        <v>5803</v>
      </c>
      <c r="D6408" s="3" t="s">
        <v>63</v>
      </c>
      <c r="E6408" s="2" t="b">
        <f t="shared" ca="1" si="178"/>
        <v>1</v>
      </c>
      <c r="F6408" s="2" cm="1">
        <f t="array" aca="1" ref="F6408" ca="1">IF(G6408&lt;&gt;"",INDIRECT("'"&amp;G6408&amp;"'!"&amp;H6408),"")</f>
        <v>600</v>
      </c>
      <c r="G6408" s="1582" t="s">
        <v>6960</v>
      </c>
      <c r="H6408" s="2" t="s">
        <v>5598</v>
      </c>
    </row>
    <row r="6409" spans="1:8" x14ac:dyDescent="0.2">
      <c r="A6409">
        <v>6404</v>
      </c>
      <c r="B6409" s="7">
        <f>'EstExp 12-20'!K220</f>
        <v>600</v>
      </c>
      <c r="C6409" s="3">
        <f t="shared" si="179"/>
        <v>5804</v>
      </c>
      <c r="D6409" s="3" t="s">
        <v>63</v>
      </c>
      <c r="E6409" s="2" t="b">
        <f t="shared" ca="1" si="178"/>
        <v>1</v>
      </c>
      <c r="F6409" s="2" cm="1">
        <f t="array" aca="1" ref="F6409" ca="1">IF(G6409&lt;&gt;"",INDIRECT("'"&amp;G6409&amp;"'!"&amp;H6409),"")</f>
        <v>600</v>
      </c>
      <c r="G6409" s="1582" t="s">
        <v>6960</v>
      </c>
      <c r="H6409" s="2" t="s">
        <v>5981</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6960</v>
      </c>
      <c r="H6410" s="2" t="s">
        <v>5599</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6960</v>
      </c>
      <c r="H6411" s="2" t="s">
        <v>5982</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6960</v>
      </c>
      <c r="H6412" s="2" t="s">
        <v>5600</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6960</v>
      </c>
      <c r="H6413" s="2" t="s">
        <v>5983</v>
      </c>
    </row>
    <row r="6414" spans="1:8" x14ac:dyDescent="0.2">
      <c r="A6414">
        <v>6409</v>
      </c>
      <c r="B6414" s="7">
        <f>'EstExp 12-20'!D230</f>
        <v>600</v>
      </c>
      <c r="C6414" s="3">
        <f t="shared" si="179"/>
        <v>5809</v>
      </c>
      <c r="D6414" s="3" t="s">
        <v>63</v>
      </c>
      <c r="E6414" s="2" t="b">
        <f t="shared" ca="1" si="178"/>
        <v>1</v>
      </c>
      <c r="F6414" s="2" cm="1">
        <f t="array" aca="1" ref="F6414" ca="1">IF(G6414&lt;&gt;"",INDIRECT("'"&amp;G6414&amp;"'!"&amp;H6414),"")</f>
        <v>600</v>
      </c>
      <c r="G6414" s="1582" t="s">
        <v>6960</v>
      </c>
      <c r="H6414" s="2" t="s">
        <v>5984</v>
      </c>
    </row>
    <row r="6415" spans="1:8" x14ac:dyDescent="0.2">
      <c r="A6415">
        <v>6410</v>
      </c>
      <c r="B6415" s="7">
        <f>'EstExp 12-20'!K230</f>
        <v>600</v>
      </c>
      <c r="C6415" s="3">
        <f t="shared" si="179"/>
        <v>5810</v>
      </c>
      <c r="D6415" s="3" t="s">
        <v>63</v>
      </c>
      <c r="E6415" s="2" t="b">
        <f t="shared" ca="1" si="178"/>
        <v>1</v>
      </c>
      <c r="F6415" s="2" cm="1">
        <f t="array" aca="1" ref="F6415" ca="1">IF(G6415&lt;&gt;"",INDIRECT("'"&amp;G6415&amp;"'!"&amp;H6415),"")</f>
        <v>600</v>
      </c>
      <c r="G6415" s="1582" t="s">
        <v>6960</v>
      </c>
      <c r="H6415" s="2" t="s">
        <v>5985</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6960</v>
      </c>
      <c r="H6418" s="2" t="s">
        <v>5986</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6960</v>
      </c>
      <c r="H6419" s="2" t="s">
        <v>5987</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6960</v>
      </c>
      <c r="H6426" s="2" t="s">
        <v>5988</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6960</v>
      </c>
      <c r="H6427" s="2" t="s">
        <v>5989</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726800</v>
      </c>
      <c r="C6436" s="3">
        <f t="shared" si="179"/>
        <v>-720369</v>
      </c>
      <c r="D6436" s="3" t="s">
        <v>744</v>
      </c>
      <c r="E6436" s="2" t="b">
        <f t="shared" ca="1" si="178"/>
        <v>1</v>
      </c>
      <c r="F6436" s="2" cm="1">
        <f t="array" aca="1" ref="F6436" ca="1">IF(G6436&lt;&gt;"",INDIRECT("'"&amp;G6436&amp;"'!"&amp;H6436),"")</f>
        <v>726800</v>
      </c>
      <c r="G6436" s="1582" t="s">
        <v>6960</v>
      </c>
      <c r="H6436" s="2" t="s">
        <v>5990</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6960</v>
      </c>
      <c r="H6437" s="2" t="s">
        <v>5776</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6960</v>
      </c>
      <c r="H6438" s="2" t="s">
        <v>5779</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6961</v>
      </c>
      <c r="H6439" s="2" t="s">
        <v>5991</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6960</v>
      </c>
      <c r="H6462" s="2" t="s">
        <v>5992</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6960</v>
      </c>
      <c r="H6464" s="2" t="s">
        <v>5993</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6960</v>
      </c>
      <c r="H6466" s="2" t="s">
        <v>5994</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6960</v>
      </c>
      <c r="H6471" s="2" t="s">
        <v>5995</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6960</v>
      </c>
      <c r="H6472" s="2" t="s">
        <v>5996</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6960</v>
      </c>
      <c r="H6473" s="2" t="s">
        <v>5997</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6960</v>
      </c>
      <c r="H6474" s="2" t="s">
        <v>5998</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6960</v>
      </c>
      <c r="H6475" s="2" t="s">
        <v>5999</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6960</v>
      </c>
      <c r="H6476" s="2" t="s">
        <v>6000</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6960</v>
      </c>
      <c r="H6479" s="2" t="s">
        <v>6001</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6960</v>
      </c>
      <c r="H6480" s="2" t="s">
        <v>6002</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6960</v>
      </c>
      <c r="H6481" s="2" t="s">
        <v>6003</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6960</v>
      </c>
      <c r="H6483" s="2" t="s">
        <v>6004</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6960</v>
      </c>
      <c r="H6484" s="2" t="s">
        <v>6005</v>
      </c>
    </row>
    <row r="6485" spans="1:8" x14ac:dyDescent="0.2">
      <c r="A6485">
        <v>6480</v>
      </c>
      <c r="B6485" s="7">
        <f>'EstExp 12-20'!E363</f>
        <v>2000</v>
      </c>
      <c r="C6485" s="3">
        <f t="shared" si="181"/>
        <v>4480</v>
      </c>
      <c r="D6485" s="3" t="s">
        <v>63</v>
      </c>
      <c r="E6485" s="2" t="b">
        <f t="shared" ca="1" si="180"/>
        <v>1</v>
      </c>
      <c r="F6485" s="2" cm="1">
        <f t="array" aca="1" ref="F6485" ca="1">IF(G6485&lt;&gt;"",INDIRECT("'"&amp;G6485&amp;"'!"&amp;H6485),"")</f>
        <v>2000</v>
      </c>
      <c r="G6485" s="1582" t="s">
        <v>6960</v>
      </c>
      <c r="H6485" s="2" t="s">
        <v>6006</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6960</v>
      </c>
      <c r="H6486" s="2" t="s">
        <v>6007</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6960</v>
      </c>
      <c r="H6487" s="2" t="s">
        <v>6008</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6960</v>
      </c>
      <c r="H6488" s="2" t="s">
        <v>6009</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6960</v>
      </c>
      <c r="H6489" s="2" t="s">
        <v>6010</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2000</v>
      </c>
      <c r="C6491" s="3">
        <f t="shared" si="181"/>
        <v>4486</v>
      </c>
      <c r="D6491" s="3" t="s">
        <v>63</v>
      </c>
      <c r="E6491" s="2" t="b">
        <f t="shared" ca="1" si="180"/>
        <v>1</v>
      </c>
      <c r="F6491" s="2" cm="1">
        <f t="array" aca="1" ref="F6491" ca="1">IF(G6491&lt;&gt;"",INDIRECT("'"&amp;G6491&amp;"'!"&amp;H6491),"")</f>
        <v>2000</v>
      </c>
      <c r="G6491" s="1582" t="s">
        <v>6960</v>
      </c>
      <c r="H6491" s="2" t="s">
        <v>6011</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6960</v>
      </c>
      <c r="H6519" s="2" t="s">
        <v>6012</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6960</v>
      </c>
      <c r="H6520" s="2" t="s">
        <v>6013</v>
      </c>
    </row>
    <row r="6521" spans="1:8" x14ac:dyDescent="0.2">
      <c r="A6521">
        <v>6516</v>
      </c>
      <c r="B6521" s="7">
        <f>'EstExp 12-20'!E364</f>
        <v>147000</v>
      </c>
      <c r="C6521" s="3">
        <f t="shared" si="181"/>
        <v>-140484</v>
      </c>
      <c r="D6521" s="3" t="s">
        <v>63</v>
      </c>
      <c r="E6521" s="2" t="b">
        <f t="shared" ca="1" si="180"/>
        <v>1</v>
      </c>
      <c r="F6521" s="2" cm="1">
        <f t="array" aca="1" ref="F6521" ca="1">IF(G6521&lt;&gt;"",INDIRECT("'"&amp;G6521&amp;"'!"&amp;H6521),"")</f>
        <v>147000</v>
      </c>
      <c r="G6521" s="1582" t="s">
        <v>6960</v>
      </c>
      <c r="H6521" s="2" t="s">
        <v>6014</v>
      </c>
    </row>
    <row r="6522" spans="1:8" x14ac:dyDescent="0.2">
      <c r="A6522">
        <v>6517</v>
      </c>
      <c r="B6522" s="7">
        <f>'EstExp 12-20'!F364</f>
        <v>0</v>
      </c>
      <c r="C6522" s="3">
        <f t="shared" si="181"/>
        <v>6517</v>
      </c>
      <c r="D6522" s="3" t="s">
        <v>63</v>
      </c>
      <c r="E6522" s="2" t="b">
        <f t="shared" ca="1" si="180"/>
        <v>1</v>
      </c>
      <c r="F6522" s="2" cm="1">
        <f t="array" aca="1" ref="F6522" ca="1">IF(G6522&lt;&gt;"",INDIRECT("'"&amp;G6522&amp;"'!"&amp;H6522),"")</f>
        <v>0</v>
      </c>
      <c r="G6522" s="1582" t="s">
        <v>6960</v>
      </c>
      <c r="H6522" s="2" t="s">
        <v>6015</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6960</v>
      </c>
      <c r="H6523" s="2" t="s">
        <v>6016</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6960</v>
      </c>
      <c r="H6524" s="2" t="s">
        <v>6017</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6960</v>
      </c>
      <c r="H6525" s="2" t="s">
        <v>6018</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147000</v>
      </c>
      <c r="C6527" s="3">
        <f t="shared" si="181"/>
        <v>-140478</v>
      </c>
      <c r="D6527" s="3" t="s">
        <v>63</v>
      </c>
      <c r="E6527" s="2" t="b">
        <f t="shared" ca="1" si="180"/>
        <v>1</v>
      </c>
      <c r="F6527" s="2" cm="1">
        <f t="array" aca="1" ref="F6527" ca="1">IF(G6527&lt;&gt;"",INDIRECT("'"&amp;G6527&amp;"'!"&amp;H6527),"")</f>
        <v>147000</v>
      </c>
      <c r="G6527" s="1582" t="s">
        <v>6960</v>
      </c>
      <c r="H6527" s="2" t="s">
        <v>6019</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6960</v>
      </c>
      <c r="H6564" s="2" t="s">
        <v>6020</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82" t="s">
        <v>6960</v>
      </c>
      <c r="H6565" s="2" t="s">
        <v>6021</v>
      </c>
      <c r="S6565" s="8"/>
    </row>
    <row r="6566" spans="1:19" x14ac:dyDescent="0.2">
      <c r="A6566">
        <v>6561</v>
      </c>
      <c r="B6566" s="8">
        <f>'EstExp 12-20'!E365</f>
        <v>149000</v>
      </c>
      <c r="C6566" s="3">
        <f t="shared" si="183"/>
        <v>-142439</v>
      </c>
      <c r="D6566" s="3" t="s">
        <v>63</v>
      </c>
      <c r="E6566" s="2" t="b">
        <f t="shared" ca="1" si="182"/>
        <v>1</v>
      </c>
      <c r="F6566" s="2" cm="1">
        <f t="array" aca="1" ref="F6566" ca="1">IF(G6566&lt;&gt;"",INDIRECT("'"&amp;G6566&amp;"'!"&amp;H6566),"")</f>
        <v>149000</v>
      </c>
      <c r="G6566" s="1582" t="s">
        <v>6960</v>
      </c>
      <c r="H6566" s="2" t="s">
        <v>6022</v>
      </c>
      <c r="S6566" s="8"/>
    </row>
    <row r="6567" spans="1:19" x14ac:dyDescent="0.2">
      <c r="A6567">
        <v>6562</v>
      </c>
      <c r="B6567" s="8">
        <f>'EstExp 12-20'!F365</f>
        <v>0</v>
      </c>
      <c r="C6567" s="3">
        <f t="shared" si="183"/>
        <v>6562</v>
      </c>
      <c r="D6567" s="3" t="s">
        <v>63</v>
      </c>
      <c r="E6567" s="2" t="b">
        <f t="shared" ca="1" si="182"/>
        <v>1</v>
      </c>
      <c r="F6567" s="2" cm="1">
        <f t="array" aca="1" ref="F6567" ca="1">IF(G6567&lt;&gt;"",INDIRECT("'"&amp;G6567&amp;"'!"&amp;H6567),"")</f>
        <v>0</v>
      </c>
      <c r="G6567" s="1582" t="s">
        <v>6960</v>
      </c>
      <c r="H6567" s="2" t="s">
        <v>6023</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6960</v>
      </c>
      <c r="H6568" s="2" t="s">
        <v>6024</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6960</v>
      </c>
      <c r="H6569" s="2" t="s">
        <v>6025</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6960</v>
      </c>
      <c r="H6570" s="2" t="s">
        <v>6026</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149000</v>
      </c>
      <c r="C6572" s="3">
        <f t="shared" si="183"/>
        <v>-142433</v>
      </c>
      <c r="D6572" s="3" t="s">
        <v>63</v>
      </c>
      <c r="E6572" s="2" t="b">
        <f t="shared" ca="1" si="182"/>
        <v>1</v>
      </c>
      <c r="F6572" s="2" cm="1">
        <f t="array" aca="1" ref="F6572" ca="1">IF(G6572&lt;&gt;"",INDIRECT("'"&amp;G6572&amp;"'!"&amp;H6572),"")</f>
        <v>149000</v>
      </c>
      <c r="G6572" s="1582" t="s">
        <v>6960</v>
      </c>
      <c r="H6572" s="2" t="s">
        <v>6027</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6960</v>
      </c>
      <c r="H6573" s="2" t="s">
        <v>6028</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6960</v>
      </c>
      <c r="H6574" s="2" t="s">
        <v>6029</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6960</v>
      </c>
      <c r="H6575" s="2" t="s">
        <v>6030</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6960</v>
      </c>
      <c r="H6576" s="2" t="s">
        <v>6031</v>
      </c>
      <c r="S6576" s="8"/>
    </row>
    <row r="6577" spans="1:19" x14ac:dyDescent="0.2">
      <c r="A6577">
        <v>6572</v>
      </c>
      <c r="B6577" s="8">
        <f>'EstExp 12-20'!C428</f>
        <v>0</v>
      </c>
      <c r="C6577" s="3">
        <f t="shared" si="183"/>
        <v>6572</v>
      </c>
      <c r="D6577" s="3" t="s">
        <v>63</v>
      </c>
      <c r="E6577" s="2" t="b">
        <f t="shared" ca="1" si="182"/>
        <v>1</v>
      </c>
      <c r="F6577" s="2" cm="1">
        <f t="array" aca="1" ref="F6577" ca="1">IF(G6577&lt;&gt;"",INDIRECT("'"&amp;G6577&amp;"'!"&amp;H6577),"")</f>
        <v>0</v>
      </c>
      <c r="G6577" s="1582" t="s">
        <v>6960</v>
      </c>
      <c r="H6577" s="2" t="s">
        <v>6032</v>
      </c>
      <c r="S6577" s="8"/>
    </row>
    <row r="6578" spans="1:19" x14ac:dyDescent="0.2">
      <c r="A6578">
        <v>6573</v>
      </c>
      <c r="B6578" s="8">
        <f>'EstExp 12-20'!D428</f>
        <v>0</v>
      </c>
      <c r="C6578" s="3">
        <f t="shared" si="183"/>
        <v>6573</v>
      </c>
      <c r="D6578" s="3" t="s">
        <v>63</v>
      </c>
      <c r="E6578" s="2" t="b">
        <f t="shared" ca="1" si="182"/>
        <v>1</v>
      </c>
      <c r="F6578" s="2" cm="1">
        <f t="array" aca="1" ref="F6578" ca="1">IF(G6578&lt;&gt;"",INDIRECT("'"&amp;G6578&amp;"'!"&amp;H6578),"")</f>
        <v>0</v>
      </c>
      <c r="G6578" s="1582" t="s">
        <v>6960</v>
      </c>
      <c r="H6578" s="2" t="s">
        <v>6033</v>
      </c>
      <c r="S6578" s="8"/>
    </row>
    <row r="6579" spans="1:19" x14ac:dyDescent="0.2">
      <c r="A6579">
        <v>6574</v>
      </c>
      <c r="B6579" s="8">
        <f>'EstExp 12-20'!F428</f>
        <v>0</v>
      </c>
      <c r="C6579" s="3">
        <f t="shared" si="183"/>
        <v>6574</v>
      </c>
      <c r="D6579" s="3" t="s">
        <v>63</v>
      </c>
      <c r="E6579" s="2" t="b">
        <f t="shared" ca="1" si="182"/>
        <v>1</v>
      </c>
      <c r="F6579" s="2" cm="1">
        <f t="array" aca="1" ref="F6579" ca="1">IF(G6579&lt;&gt;"",INDIRECT("'"&amp;G6579&amp;"'!"&amp;H6579),"")</f>
        <v>0</v>
      </c>
      <c r="G6579" s="1582" t="s">
        <v>6960</v>
      </c>
      <c r="H6579" s="2" t="s">
        <v>6034</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6960</v>
      </c>
      <c r="H6580" s="2" t="s">
        <v>6035</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6960</v>
      </c>
      <c r="H6581" s="2" t="s">
        <v>6036</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6960</v>
      </c>
      <c r="H6583" s="2" t="s">
        <v>6037</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6960</v>
      </c>
      <c r="H6585" s="2" t="s">
        <v>6038</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6960</v>
      </c>
      <c r="H6587" s="2" t="s">
        <v>6039</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6960</v>
      </c>
      <c r="H6589" s="2" t="s">
        <v>6040</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6960</v>
      </c>
      <c r="H6591" s="2" t="s">
        <v>6041</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6960</v>
      </c>
      <c r="H6593" s="2" t="s">
        <v>6042</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6960</v>
      </c>
      <c r="H6594" s="2" t="s">
        <v>6043</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6960</v>
      </c>
      <c r="H6595" s="2" t="s">
        <v>6044</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6960</v>
      </c>
      <c r="H6597" s="2" t="s">
        <v>6045</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6960</v>
      </c>
      <c r="H6598" s="2" t="s">
        <v>6046</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6959</v>
      </c>
      <c r="H6604" s="2" t="s">
        <v>5207</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6959</v>
      </c>
      <c r="H6605" s="2" t="s">
        <v>5728</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6959</v>
      </c>
      <c r="H6606" s="2" t="s">
        <v>4416</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6959</v>
      </c>
      <c r="H6607" s="2" t="s">
        <v>5706</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6959</v>
      </c>
      <c r="H6608" s="2" t="s">
        <v>4517</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6960</v>
      </c>
      <c r="H6609" s="2" t="s">
        <v>6047</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6960</v>
      </c>
      <c r="H6610" s="2" t="s">
        <v>6048</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6960</v>
      </c>
      <c r="H6611" s="2" t="s">
        <v>6049</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6960</v>
      </c>
      <c r="H6612" s="2" t="s">
        <v>6050</v>
      </c>
      <c r="S6612" s="8"/>
    </row>
    <row r="6613" spans="1:19" x14ac:dyDescent="0.2">
      <c r="A6613">
        <v>6608</v>
      </c>
      <c r="B6613" s="8">
        <f>'EstExp 12-20'!E428</f>
        <v>149000</v>
      </c>
      <c r="C6613" s="3">
        <f t="shared" si="185"/>
        <v>-142392</v>
      </c>
      <c r="D6613" s="3" t="s">
        <v>162</v>
      </c>
      <c r="E6613" s="2" t="b">
        <f t="shared" ca="1" si="184"/>
        <v>1</v>
      </c>
      <c r="F6613" s="2" cm="1">
        <f t="array" aca="1" ref="F6613" ca="1">IF(G6613&lt;&gt;"",INDIRECT("'"&amp;G6613&amp;"'!"&amp;H6613),"")</f>
        <v>149000</v>
      </c>
      <c r="G6613" s="1582" t="s">
        <v>6960</v>
      </c>
      <c r="H6613" s="2" t="s">
        <v>6051</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6960</v>
      </c>
      <c r="H6614" s="2" t="s">
        <v>6052</v>
      </c>
      <c r="S6614" s="8"/>
    </row>
    <row r="6615" spans="1:19" x14ac:dyDescent="0.2">
      <c r="A6615">
        <v>6610</v>
      </c>
      <c r="B6615" s="8">
        <f>'EstExp 12-20'!K428</f>
        <v>149000</v>
      </c>
      <c r="C6615" s="3">
        <f t="shared" si="185"/>
        <v>-142390</v>
      </c>
      <c r="D6615" s="3" t="s">
        <v>162</v>
      </c>
      <c r="E6615" s="2" t="b">
        <f t="shared" ca="1" si="184"/>
        <v>1</v>
      </c>
      <c r="F6615" s="2" cm="1">
        <f t="array" aca="1" ref="F6615" ca="1">IF(G6615&lt;&gt;"",INDIRECT("'"&amp;G6615&amp;"'!"&amp;H6615),"")</f>
        <v>149000</v>
      </c>
      <c r="G6615" s="1582" t="s">
        <v>6960</v>
      </c>
      <c r="H6615" s="2" t="s">
        <v>6053</v>
      </c>
      <c r="S6615" s="8"/>
    </row>
    <row r="6616" spans="1:19" x14ac:dyDescent="0.2">
      <c r="A6616">
        <v>6611</v>
      </c>
      <c r="B6616" s="8">
        <f>'EstExp 12-20'!K429</f>
        <v>0</v>
      </c>
      <c r="C6616" s="3">
        <f t="shared" si="185"/>
        <v>6611</v>
      </c>
      <c r="D6616" s="3" t="s">
        <v>162</v>
      </c>
      <c r="E6616" s="2" t="b">
        <f t="shared" ca="1" si="184"/>
        <v>1</v>
      </c>
      <c r="F6616" s="2" cm="1">
        <f t="array" aca="1" ref="F6616" ca="1">IF(G6616&lt;&gt;"",INDIRECT("'"&amp;G6616&amp;"'!"&amp;H6616),"")</f>
        <v>0</v>
      </c>
      <c r="G6616" s="1582" t="s">
        <v>6960</v>
      </c>
      <c r="H6616" s="2" t="s">
        <v>6054</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0</v>
      </c>
      <c r="C6619" s="3">
        <f t="shared" si="185"/>
        <v>6614</v>
      </c>
      <c r="D6619" s="3" t="s">
        <v>162</v>
      </c>
      <c r="E6619" s="2" t="b">
        <f t="shared" ca="1" si="184"/>
        <v>1</v>
      </c>
      <c r="F6619" s="2" cm="1">
        <f t="array" aca="1" ref="F6619" ca="1">IF(G6619&lt;&gt;"",INDIRECT("'"&amp;G6619&amp;"'!"&amp;H6619),"")</f>
        <v>0</v>
      </c>
      <c r="G6619" s="1582" t="s">
        <v>6961</v>
      </c>
      <c r="H6619" s="2" t="s">
        <v>6055</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0</v>
      </c>
      <c r="C6622" s="3">
        <f t="shared" si="185"/>
        <v>6617</v>
      </c>
      <c r="D6622" s="3" t="s">
        <v>162</v>
      </c>
      <c r="E6622" s="2" t="b">
        <f t="shared" ca="1" si="184"/>
        <v>1</v>
      </c>
      <c r="F6622" s="2" cm="1">
        <f t="array" aca="1" ref="F6622" ca="1">IF(G6622&lt;&gt;"",INDIRECT("'"&amp;G6622&amp;"'!"&amp;H6622),"")</f>
        <v>0</v>
      </c>
      <c r="G6622" s="1582" t="s">
        <v>6961</v>
      </c>
      <c r="H6622" s="2" t="s">
        <v>6056</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6960</v>
      </c>
      <c r="H6626" s="2" t="s">
        <v>6057</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6960</v>
      </c>
      <c r="H6627" s="2" t="s">
        <v>6058</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6960</v>
      </c>
      <c r="H6628" s="2" t="s">
        <v>6059</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6960</v>
      </c>
      <c r="H6629" s="2" t="s">
        <v>5760</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6960</v>
      </c>
      <c r="H6630" s="2" t="s">
        <v>6060</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6960</v>
      </c>
      <c r="H6631" s="2" t="s">
        <v>5205</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6960</v>
      </c>
      <c r="H6632" s="2" t="s">
        <v>6061</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6960</v>
      </c>
      <c r="H6633" s="2" t="s">
        <v>6062</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6960</v>
      </c>
      <c r="H6634" s="2" t="s">
        <v>6063</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6960</v>
      </c>
      <c r="H6635" s="2" t="s">
        <v>6064</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6960</v>
      </c>
      <c r="H6636" s="2" t="s">
        <v>6065</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6960</v>
      </c>
      <c r="H6637" s="2" t="s">
        <v>6066</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6960</v>
      </c>
      <c r="H6638" s="2" t="s">
        <v>6067</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6960</v>
      </c>
      <c r="H6639" s="2" t="s">
        <v>5815</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6960</v>
      </c>
      <c r="H6640" s="2" t="s">
        <v>5818</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6960</v>
      </c>
      <c r="H6641" s="2" t="s">
        <v>5820</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6960</v>
      </c>
      <c r="H6642" s="2" t="s">
        <v>5823</v>
      </c>
    </row>
    <row r="6643" spans="1:8" x14ac:dyDescent="0.2">
      <c r="A6643">
        <v>6638</v>
      </c>
      <c r="B6643" s="7">
        <f>'EstExp 12-20'!H209</f>
        <v>0</v>
      </c>
      <c r="C6643" s="3">
        <f t="shared" si="185"/>
        <v>6638</v>
      </c>
      <c r="D6643" s="3" t="s">
        <v>162</v>
      </c>
      <c r="E6643" s="2" t="b">
        <f t="shared" ca="1" si="184"/>
        <v>1</v>
      </c>
      <c r="F6643" s="2" cm="1">
        <f t="array" aca="1" ref="F6643" ca="1">IF(G6643&lt;&gt;"",INDIRECT("'"&amp;G6643&amp;"'!"&amp;H6643),"")</f>
        <v>0</v>
      </c>
      <c r="G6643" s="1582" t="s">
        <v>6960</v>
      </c>
      <c r="H6643" s="2" t="s">
        <v>6068</v>
      </c>
    </row>
    <row r="6644" spans="1:8" x14ac:dyDescent="0.2">
      <c r="A6644">
        <v>6639</v>
      </c>
      <c r="B6644" s="7">
        <f>'EstExp 12-20'!K209</f>
        <v>0</v>
      </c>
      <c r="C6644" s="3">
        <f t="shared" si="185"/>
        <v>6639</v>
      </c>
      <c r="D6644" s="3" t="s">
        <v>162</v>
      </c>
      <c r="E6644" s="2" t="b">
        <f t="shared" ca="1" si="184"/>
        <v>1</v>
      </c>
      <c r="F6644" s="2" cm="1">
        <f t="array" aca="1" ref="F6644" ca="1">IF(G6644&lt;&gt;"",INDIRECT("'"&amp;G6644&amp;"'!"&amp;H6644),"")</f>
        <v>0</v>
      </c>
      <c r="G6644" s="1582" t="s">
        <v>6960</v>
      </c>
      <c r="H6644" s="2" t="s">
        <v>6069</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6960</v>
      </c>
      <c r="H6645" s="2" t="s">
        <v>6070</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6960</v>
      </c>
      <c r="H6646" s="2" t="s">
        <v>6071</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6960</v>
      </c>
      <c r="H6665" s="2" t="s">
        <v>6072</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6960</v>
      </c>
      <c r="H6666" s="2" t="s">
        <v>6073</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6960</v>
      </c>
      <c r="H6667" s="2" t="s">
        <v>6074</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6960</v>
      </c>
      <c r="H6668" s="2" t="s">
        <v>6075</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6961</v>
      </c>
      <c r="H6669" s="2" t="s">
        <v>6076</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6961</v>
      </c>
      <c r="H6670" s="2" t="s">
        <v>6077</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6961</v>
      </c>
      <c r="H6671" s="2" t="s">
        <v>6078</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6961</v>
      </c>
      <c r="H6672" s="2" t="s">
        <v>6079</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6961</v>
      </c>
      <c r="H6673" s="2" t="s">
        <v>6080</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6961</v>
      </c>
      <c r="H6674" s="2" t="s">
        <v>6081</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6961</v>
      </c>
      <c r="H6675" s="2" t="s">
        <v>6082</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6961</v>
      </c>
      <c r="H6676" s="2" t="s">
        <v>6083</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6961</v>
      </c>
      <c r="H6677" s="2" t="s">
        <v>6084</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6961</v>
      </c>
      <c r="H6678" s="2" t="s">
        <v>6085</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6961</v>
      </c>
      <c r="H6679" s="2" t="s">
        <v>6086</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6961</v>
      </c>
      <c r="H6680" s="2" t="s">
        <v>6087</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6961</v>
      </c>
      <c r="H6681" s="2" t="s">
        <v>6088</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6961</v>
      </c>
      <c r="H6682" s="2" t="s">
        <v>6089</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6961</v>
      </c>
      <c r="H6683" s="2" t="s">
        <v>6090</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6961</v>
      </c>
      <c r="H6684" s="2" t="s">
        <v>6091</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6961</v>
      </c>
      <c r="H6685" s="2" t="s">
        <v>6092</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6961</v>
      </c>
      <c r="H6686" s="2" t="s">
        <v>6093</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6961</v>
      </c>
      <c r="H6687" s="2" t="s">
        <v>6094</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6961</v>
      </c>
      <c r="H6688" s="2" t="s">
        <v>6095</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6961</v>
      </c>
      <c r="H6689" s="2" t="s">
        <v>6096</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6961</v>
      </c>
      <c r="H6690" s="2" t="s">
        <v>6097</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6961</v>
      </c>
      <c r="H6691" s="2" t="s">
        <v>6098</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6961</v>
      </c>
      <c r="H6692" s="2" t="s">
        <v>6099</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6961</v>
      </c>
      <c r="H6693" s="2" t="s">
        <v>6100</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6961</v>
      </c>
      <c r="H6694" s="2" t="s">
        <v>6101</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6961</v>
      </c>
      <c r="H6695" s="2" t="s">
        <v>6102</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6961</v>
      </c>
      <c r="H6696" s="2" t="s">
        <v>6103</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6961</v>
      </c>
      <c r="H6697" s="2" t="s">
        <v>6104</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6961</v>
      </c>
      <c r="H6698" s="2" t="s">
        <v>6105</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6961</v>
      </c>
      <c r="H6699" s="2" t="s">
        <v>4931</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6961</v>
      </c>
      <c r="H6700" s="2" t="s">
        <v>4932</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6961</v>
      </c>
      <c r="H6701" s="2" t="s">
        <v>4933</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6961</v>
      </c>
      <c r="H6702" s="2" t="s">
        <v>4928</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6961</v>
      </c>
      <c r="H6703" s="2" t="s">
        <v>5984</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6961</v>
      </c>
      <c r="H6705" s="2" t="s">
        <v>4929</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6961</v>
      </c>
      <c r="H6706" s="2" t="s">
        <v>5240</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6961</v>
      </c>
      <c r="H6707" s="2" t="s">
        <v>4934</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6961</v>
      </c>
      <c r="H6708" s="2" t="s">
        <v>6106</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6961</v>
      </c>
      <c r="H6709" s="2" t="s">
        <v>6107</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6961</v>
      </c>
      <c r="H6710" s="2" t="s">
        <v>4935</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6961</v>
      </c>
      <c r="H6711" s="2" t="s">
        <v>4936</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6961</v>
      </c>
      <c r="H6712" s="2" t="s">
        <v>4937</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6961</v>
      </c>
      <c r="H6713" s="2" t="s">
        <v>4938</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6961</v>
      </c>
      <c r="H6714" s="2" t="s">
        <v>4939</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6961</v>
      </c>
      <c r="H6715" s="2" t="s">
        <v>4940</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6961</v>
      </c>
      <c r="H6716" s="2" t="s">
        <v>4941</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6961</v>
      </c>
      <c r="H6717" s="2" t="s">
        <v>6108</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6961</v>
      </c>
      <c r="H6718" s="2" t="s">
        <v>4942</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6961</v>
      </c>
      <c r="H6719" s="2" t="s">
        <v>4943</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6961</v>
      </c>
      <c r="H6720" s="2" t="s">
        <v>4944</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6961</v>
      </c>
      <c r="H6721" s="2" t="s">
        <v>4945</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6961</v>
      </c>
      <c r="H6722" s="2" t="s">
        <v>6109</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6961</v>
      </c>
      <c r="H6723" s="2" t="s">
        <v>4946</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6961</v>
      </c>
      <c r="H6724" s="2" t="s">
        <v>4947</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6961</v>
      </c>
      <c r="H6725" s="2" t="s">
        <v>5101</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6961</v>
      </c>
      <c r="H6726" s="2" t="s">
        <v>5986</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6961</v>
      </c>
      <c r="H6727" s="2" t="s">
        <v>5988</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6961</v>
      </c>
      <c r="H6728" s="2" t="s">
        <v>4948</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6961</v>
      </c>
      <c r="H6729" s="2" t="s">
        <v>6110</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6961</v>
      </c>
      <c r="H6730" s="2" t="s">
        <v>6111</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6961</v>
      </c>
      <c r="H6732" s="2" t="s">
        <v>6112</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6961</v>
      </c>
      <c r="H6733" s="2" t="s">
        <v>6113</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6961</v>
      </c>
      <c r="H6734" s="2" t="s">
        <v>6114</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6961</v>
      </c>
      <c r="H6735" s="2" t="s">
        <v>6115</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6961</v>
      </c>
      <c r="H6736" s="2" t="s">
        <v>6116</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6961</v>
      </c>
      <c r="H6737" s="2" t="s">
        <v>6117</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6961</v>
      </c>
      <c r="H6738" s="2" t="s">
        <v>6118</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6961</v>
      </c>
      <c r="H6739" s="2" t="s">
        <v>6119</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6961</v>
      </c>
      <c r="H6742" s="2" t="s">
        <v>6120</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6961</v>
      </c>
      <c r="H6743" s="2" t="s">
        <v>6121</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6961</v>
      </c>
      <c r="H6744" s="2" t="s">
        <v>6122</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6961</v>
      </c>
      <c r="H6745" s="2" t="s">
        <v>6123</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6961</v>
      </c>
      <c r="H6746" s="2" t="s">
        <v>6124</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6961</v>
      </c>
      <c r="H6747" s="2" t="s">
        <v>6125</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6961</v>
      </c>
      <c r="H6748" s="2" t="s">
        <v>6126</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6961</v>
      </c>
      <c r="H6749" s="2" t="s">
        <v>6127</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6961</v>
      </c>
      <c r="H6750" s="2" t="s">
        <v>6128</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6961</v>
      </c>
      <c r="H6751" s="2" t="s">
        <v>6129</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6961</v>
      </c>
      <c r="H6752" s="2" t="s">
        <v>6130</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6961</v>
      </c>
      <c r="H6753" s="2" t="s">
        <v>6131</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6961</v>
      </c>
      <c r="H6754" s="2" t="s">
        <v>6132</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6961</v>
      </c>
      <c r="H6755" s="2" t="s">
        <v>6133</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6961</v>
      </c>
      <c r="H6756" s="2" t="s">
        <v>6134</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6961</v>
      </c>
      <c r="H6757" s="2" t="s">
        <v>6135</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6961</v>
      </c>
      <c r="H6758" s="2" t="s">
        <v>6136</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6961</v>
      </c>
      <c r="H6759" s="2" t="s">
        <v>6137</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6961</v>
      </c>
      <c r="H6760" s="2" t="s">
        <v>6138</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6961</v>
      </c>
      <c r="H6761" s="2" t="s">
        <v>6139</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6961</v>
      </c>
      <c r="H6762" s="2" t="s">
        <v>6140</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6961</v>
      </c>
      <c r="H6763" s="2" t="s">
        <v>6141</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6961</v>
      </c>
      <c r="H6764" s="2" t="s">
        <v>6142</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6961</v>
      </c>
      <c r="H6765" s="2" t="s">
        <v>6143</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6961</v>
      </c>
      <c r="H6766" s="2" t="s">
        <v>6144</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6961</v>
      </c>
      <c r="H6767" s="2" t="s">
        <v>6145</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6961</v>
      </c>
      <c r="H6768" s="2" t="s">
        <v>6146</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6961</v>
      </c>
      <c r="H6769" s="2" t="s">
        <v>6147</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6961</v>
      </c>
      <c r="H6770" s="2" t="s">
        <v>6148</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6961</v>
      </c>
      <c r="H6772" s="2" t="s">
        <v>6149</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6961</v>
      </c>
      <c r="H6773" s="2" t="s">
        <v>6150</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6961</v>
      </c>
      <c r="H6774" s="2" t="s">
        <v>6151</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6961</v>
      </c>
      <c r="H6775" s="2" t="s">
        <v>6152</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6961</v>
      </c>
      <c r="H6776" s="2" t="s">
        <v>6153</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6961</v>
      </c>
      <c r="H6777" s="2" t="s">
        <v>6154</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6961</v>
      </c>
      <c r="H6778" s="2" t="s">
        <v>6155</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6961</v>
      </c>
      <c r="H6779" s="2" t="s">
        <v>6156</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6961</v>
      </c>
      <c r="H6780" s="2" t="s">
        <v>6157</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6961</v>
      </c>
      <c r="H6781" s="2" t="s">
        <v>6158</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6961</v>
      </c>
      <c r="H6782" s="2" t="s">
        <v>6159</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6961</v>
      </c>
      <c r="H6783" s="2" t="s">
        <v>6160</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6961</v>
      </c>
      <c r="H6784" s="2" t="s">
        <v>6161</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6961</v>
      </c>
      <c r="H6785" s="2" t="s">
        <v>6162</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6961</v>
      </c>
      <c r="H6786" s="2" t="s">
        <v>6163</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6961</v>
      </c>
      <c r="H6787" s="2" t="s">
        <v>6164</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6961</v>
      </c>
      <c r="H6788" s="2" t="s">
        <v>6165</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6961</v>
      </c>
      <c r="H6789" s="2" t="s">
        <v>6166</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6961</v>
      </c>
      <c r="H6790" s="2" t="s">
        <v>6167</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6961</v>
      </c>
      <c r="H6791" s="2" t="s">
        <v>6168</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6961</v>
      </c>
      <c r="H6792" s="2" t="s">
        <v>6169</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6961</v>
      </c>
      <c r="H6793" s="2" t="s">
        <v>6170</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6961</v>
      </c>
      <c r="H6794" s="2" t="s">
        <v>6171</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6961</v>
      </c>
      <c r="H6795" s="2" t="s">
        <v>6172</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6961</v>
      </c>
      <c r="H6796" s="2" t="s">
        <v>6173</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6961</v>
      </c>
      <c r="H6797" s="2" t="s">
        <v>6174</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6961</v>
      </c>
      <c r="H6798" s="2" t="s">
        <v>6175</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6961</v>
      </c>
      <c r="H6799" s="2" t="s">
        <v>6176</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6961</v>
      </c>
      <c r="H6800" s="2" t="s">
        <v>6177</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6961</v>
      </c>
      <c r="H6802" s="2" t="s">
        <v>6178</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6961</v>
      </c>
      <c r="H6803" s="2" t="s">
        <v>6179</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6961</v>
      </c>
      <c r="H6804" s="2" t="s">
        <v>6180</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6961</v>
      </c>
      <c r="H6805" s="2" t="s">
        <v>6181</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6961</v>
      </c>
      <c r="H6806" s="2" t="s">
        <v>6182</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6961</v>
      </c>
      <c r="H6807" s="2" t="s">
        <v>6183</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6961</v>
      </c>
      <c r="H6808" s="2" t="s">
        <v>6184</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6961</v>
      </c>
      <c r="H6809" s="2" t="s">
        <v>6185</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6961</v>
      </c>
      <c r="H6810" s="2" t="s">
        <v>6186</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6961</v>
      </c>
      <c r="H6811" s="2" t="s">
        <v>6187</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6961</v>
      </c>
      <c r="H6812" s="2" t="s">
        <v>6188</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6961</v>
      </c>
      <c r="H6813" s="2" t="s">
        <v>6189</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6961</v>
      </c>
      <c r="H6814" s="2" t="s">
        <v>6190</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6961</v>
      </c>
      <c r="H6815" s="2" t="s">
        <v>6191</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6961</v>
      </c>
      <c r="H6816" s="2" t="s">
        <v>6192</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6961</v>
      </c>
      <c r="H6817" s="2" t="s">
        <v>6193</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6961</v>
      </c>
      <c r="H6818" s="2" t="s">
        <v>6194</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6961</v>
      </c>
      <c r="H6819" s="2" t="s">
        <v>6195</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6961</v>
      </c>
      <c r="H6820" s="2" t="s">
        <v>6196</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6961</v>
      </c>
      <c r="H6822" s="2" t="s">
        <v>6197</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6961</v>
      </c>
      <c r="H6823" s="2" t="s">
        <v>6198</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6961</v>
      </c>
      <c r="H6824" s="2" t="s">
        <v>6199</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6961</v>
      </c>
      <c r="H6825" s="2" t="s">
        <v>6200</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6961</v>
      </c>
      <c r="H6826" s="2" t="s">
        <v>6201</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6961</v>
      </c>
      <c r="H6827" s="2" t="s">
        <v>6202</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6961</v>
      </c>
      <c r="H6828" s="2" t="s">
        <v>6203</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6961</v>
      </c>
      <c r="H6829" s="2" t="s">
        <v>6204</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6961</v>
      </c>
      <c r="H6832" s="2" t="s">
        <v>6205</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6961</v>
      </c>
      <c r="H6833" s="2" t="s">
        <v>6206</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6961</v>
      </c>
      <c r="H6834" s="2" t="s">
        <v>6207</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6961</v>
      </c>
      <c r="H6835" s="2" t="s">
        <v>6208</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6961</v>
      </c>
      <c r="H6836" s="2" t="s">
        <v>6209</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6961</v>
      </c>
      <c r="H6837" s="2" t="s">
        <v>6210</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6961</v>
      </c>
      <c r="H6838" s="2" t="s">
        <v>6211</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6961</v>
      </c>
      <c r="H6839" s="2" t="s">
        <v>6212</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6961</v>
      </c>
      <c r="H6840" s="2" t="s">
        <v>6213</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6961</v>
      </c>
      <c r="H6841" s="2" t="s">
        <v>6214</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6961</v>
      </c>
      <c r="H6842" s="2" t="s">
        <v>6215</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6961</v>
      </c>
      <c r="H6843" s="2" t="s">
        <v>6216</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6961</v>
      </c>
      <c r="H6844" s="2" t="s">
        <v>6217</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6961</v>
      </c>
      <c r="H6845" s="2" t="s">
        <v>6218</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6961</v>
      </c>
      <c r="H6846" s="2" t="s">
        <v>6219</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6961</v>
      </c>
      <c r="H6847" s="2" t="s">
        <v>6220</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6961</v>
      </c>
      <c r="H6848" s="2" t="s">
        <v>6221</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6961</v>
      </c>
      <c r="H6849" s="2" t="s">
        <v>6222</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6961</v>
      </c>
      <c r="H6850" s="2" t="s">
        <v>6223</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6961</v>
      </c>
      <c r="H6852" s="2" t="s">
        <v>6224</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6961</v>
      </c>
      <c r="H6853" s="2" t="s">
        <v>6225</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6961</v>
      </c>
      <c r="H6854" s="2" t="s">
        <v>6226</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6961</v>
      </c>
      <c r="H6855" s="2" t="s">
        <v>6227</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6961</v>
      </c>
      <c r="H6856" s="2" t="s">
        <v>6228</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6961</v>
      </c>
      <c r="H6857" s="2" t="s">
        <v>6229</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6961</v>
      </c>
      <c r="H6858" s="2" t="s">
        <v>6230</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6961</v>
      </c>
      <c r="H6859" s="2" t="s">
        <v>6231</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6961</v>
      </c>
      <c r="H6862" s="2" t="s">
        <v>6232</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6961</v>
      </c>
      <c r="H6863" s="2" t="s">
        <v>6233</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6961</v>
      </c>
      <c r="H6864" s="2" t="s">
        <v>6234</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6961</v>
      </c>
      <c r="H6865" s="2" t="s">
        <v>6235</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6961</v>
      </c>
      <c r="H6866" s="2" t="s">
        <v>6236</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6961</v>
      </c>
      <c r="H6867" s="2" t="s">
        <v>6237</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6961</v>
      </c>
      <c r="H6868" s="2" t="s">
        <v>6238</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6961</v>
      </c>
      <c r="H6869" s="2" t="s">
        <v>6239</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6961</v>
      </c>
      <c r="H6870" s="2" t="s">
        <v>6240</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6961</v>
      </c>
      <c r="H6871" s="2" t="s">
        <v>6241</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6961</v>
      </c>
      <c r="H6872" s="2" t="s">
        <v>6242</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6961</v>
      </c>
      <c r="H6873" s="2" t="s">
        <v>6243</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6961</v>
      </c>
      <c r="H6874" s="2" t="s">
        <v>6244</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6961</v>
      </c>
      <c r="H6875" s="2" t="s">
        <v>6245</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6961</v>
      </c>
      <c r="H6876" s="2" t="s">
        <v>6246</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6961</v>
      </c>
      <c r="H6877" s="2" t="s">
        <v>6247</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6961</v>
      </c>
      <c r="H6878" s="2" t="s">
        <v>6248</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6961</v>
      </c>
      <c r="H6879" s="2" t="s">
        <v>6249</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6961</v>
      </c>
      <c r="H6880" s="2" t="s">
        <v>4978</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6961</v>
      </c>
      <c r="H6882" s="2" t="s">
        <v>4980</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6961</v>
      </c>
      <c r="H6883" s="2" t="s">
        <v>4975</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6961</v>
      </c>
      <c r="H6884" s="2" t="s">
        <v>5985</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6961</v>
      </c>
      <c r="H6885" s="2" t="s">
        <v>4976</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6961</v>
      </c>
      <c r="H6886" s="2" t="s">
        <v>5243</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6961</v>
      </c>
      <c r="H6887" s="2" t="s">
        <v>4981</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6961</v>
      </c>
      <c r="H6888" s="2" t="s">
        <v>6250</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6961</v>
      </c>
      <c r="H6889" s="2" t="s">
        <v>6251</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6961</v>
      </c>
      <c r="H6892" s="2" t="s">
        <v>4984</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6961</v>
      </c>
      <c r="H6893" s="2" t="s">
        <v>4985</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6961</v>
      </c>
      <c r="H6894" s="2" t="s">
        <v>4986</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6961</v>
      </c>
      <c r="H6895" s="2" t="s">
        <v>4987</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6961</v>
      </c>
      <c r="H6896" s="2" t="s">
        <v>4988</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6961</v>
      </c>
      <c r="H6897" s="2" t="s">
        <v>6252</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6961</v>
      </c>
      <c r="H6898" s="2" t="s">
        <v>4989</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6961</v>
      </c>
      <c r="H6899" s="2" t="s">
        <v>4990</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6961</v>
      </c>
      <c r="H6900" s="2" t="s">
        <v>4991</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6961</v>
      </c>
      <c r="H6901" s="2" t="s">
        <v>4992</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6961</v>
      </c>
      <c r="H6902" s="2" t="s">
        <v>6253</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6961</v>
      </c>
      <c r="H6903" s="2" t="s">
        <v>4993</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6961</v>
      </c>
      <c r="H6904" s="2" t="s">
        <v>4994</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6961</v>
      </c>
      <c r="H6905" s="2" t="s">
        <v>5102</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6961</v>
      </c>
      <c r="H6906" s="2" t="s">
        <v>5987</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6961</v>
      </c>
      <c r="H6907" s="2" t="s">
        <v>5989</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6961</v>
      </c>
      <c r="H6908" s="2" t="s">
        <v>4995</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6961</v>
      </c>
      <c r="H6909" s="2" t="s">
        <v>6254</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6961</v>
      </c>
      <c r="H6910" s="2" t="s">
        <v>6255</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6961</v>
      </c>
      <c r="H6911" s="2" t="s">
        <v>5128</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6961</v>
      </c>
      <c r="H6912" s="2" t="s">
        <v>6256</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6960</v>
      </c>
      <c r="H6915" s="2" t="s">
        <v>6257</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6960</v>
      </c>
      <c r="H6916" s="2" t="s">
        <v>6258</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6958</v>
      </c>
      <c r="H6917" s="2" t="s">
        <v>4550</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6958</v>
      </c>
      <c r="H6918" s="2" t="s">
        <v>4587</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6958</v>
      </c>
      <c r="H6919" s="2" t="s">
        <v>4737</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6958</v>
      </c>
      <c r="H6920" s="2" t="s">
        <v>4551</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6958</v>
      </c>
      <c r="H6921" s="2" t="s">
        <v>4588</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6958</v>
      </c>
      <c r="H6922" s="2" t="s">
        <v>4738</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6958</v>
      </c>
      <c r="H6923" s="2" t="s">
        <v>6259</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6958</v>
      </c>
      <c r="H6924" s="2" t="s">
        <v>6260</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6958</v>
      </c>
      <c r="H6925" s="2" t="s">
        <v>6261</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6958</v>
      </c>
      <c r="H6926" s="2" t="s">
        <v>4553</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6958</v>
      </c>
      <c r="H6927" s="2" t="s">
        <v>4590</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6958</v>
      </c>
      <c r="H6928" s="2" t="s">
        <v>4740</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6958</v>
      </c>
      <c r="H6929" s="2" t="s">
        <v>4554</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6958</v>
      </c>
      <c r="H6930" s="2" t="s">
        <v>4591</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6958</v>
      </c>
      <c r="H6931" s="2" t="s">
        <v>4741</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6958</v>
      </c>
      <c r="H6932" s="2" t="s">
        <v>4555</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6958</v>
      </c>
      <c r="H6933" s="2" t="s">
        <v>4592</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6958</v>
      </c>
      <c r="H6934" s="2" t="s">
        <v>4742</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6958</v>
      </c>
      <c r="H6935" s="2" t="s">
        <v>4557</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6958</v>
      </c>
      <c r="H6936" s="2" t="s">
        <v>4594</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6958</v>
      </c>
      <c r="H6937" s="2" t="s">
        <v>4558</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6958</v>
      </c>
      <c r="H6938" s="2" t="s">
        <v>4595</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6958</v>
      </c>
      <c r="H6939" s="2" t="s">
        <v>6262</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6958</v>
      </c>
      <c r="H6940" s="2" t="s">
        <v>6263</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6958</v>
      </c>
      <c r="H6941" s="2" t="s">
        <v>4560</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6958</v>
      </c>
      <c r="H6942" s="2" t="s">
        <v>4597</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6958</v>
      </c>
      <c r="H6943" s="2" t="s">
        <v>4561</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6958</v>
      </c>
      <c r="H6944" s="2" t="s">
        <v>4598</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6958</v>
      </c>
      <c r="H6945" s="2" t="s">
        <v>4562</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6958</v>
      </c>
      <c r="H6946" s="2" t="s">
        <v>4599</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6958</v>
      </c>
      <c r="H6947" s="2" t="s">
        <v>4564</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6958</v>
      </c>
      <c r="H6948" s="2" t="s">
        <v>4601</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6958</v>
      </c>
      <c r="H6949" s="2" t="s">
        <v>4565</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6958</v>
      </c>
      <c r="H6950" s="2" t="s">
        <v>4602</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6958</v>
      </c>
      <c r="H6951" s="2" t="s">
        <v>4566</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6958</v>
      </c>
      <c r="H6952" s="2" t="s">
        <v>4603</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6958</v>
      </c>
      <c r="H6953" s="2" t="s">
        <v>5757</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6958</v>
      </c>
      <c r="H6954" s="2" t="s">
        <v>6264</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6958</v>
      </c>
      <c r="H6955" s="2" t="s">
        <v>6265</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6958</v>
      </c>
      <c r="H6956" s="2" t="s">
        <v>6266</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6958</v>
      </c>
      <c r="H6957" s="2" t="s">
        <v>6267</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6958</v>
      </c>
      <c r="H6958" s="2" t="s">
        <v>5857</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6958</v>
      </c>
      <c r="H6959" s="2" t="s">
        <v>6268</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6958</v>
      </c>
      <c r="H6960" s="2" t="s">
        <v>5858</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6961</v>
      </c>
      <c r="H6961" s="2" t="s">
        <v>6269</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6961</v>
      </c>
      <c r="H6969" s="2" t="s">
        <v>6270</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6959</v>
      </c>
      <c r="H6970" s="2" t="s">
        <v>5244</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6959</v>
      </c>
      <c r="H6971" s="2" t="s">
        <v>5075</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6959</v>
      </c>
      <c r="H6972" s="2" t="s">
        <v>5077</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6959</v>
      </c>
      <c r="H6973" s="2" t="s">
        <v>6271</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6959</v>
      </c>
      <c r="H6974" s="2" t="s">
        <v>5088</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6959</v>
      </c>
      <c r="H6975" s="2" t="s">
        <v>5247</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6959</v>
      </c>
      <c r="H6976" s="2" t="s">
        <v>6272</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6959</v>
      </c>
      <c r="H6977" s="2" t="s">
        <v>5092</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6959</v>
      </c>
      <c r="H6978" s="2" t="s">
        <v>6273</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6959</v>
      </c>
      <c r="H6979" s="2" t="s">
        <v>5237</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6959</v>
      </c>
      <c r="H6980" s="2" t="s">
        <v>5260</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6959</v>
      </c>
      <c r="H6981" s="2" t="s">
        <v>4417</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6960</v>
      </c>
      <c r="H6982" s="2" t="s">
        <v>6271</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6960</v>
      </c>
      <c r="H6983" s="2" t="s">
        <v>6273</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6961</v>
      </c>
      <c r="H6984" s="2" t="s">
        <v>6274</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6961</v>
      </c>
      <c r="H6985" s="2" t="s">
        <v>4950</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6961</v>
      </c>
      <c r="H6987" s="2" t="s">
        <v>6275</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6961</v>
      </c>
      <c r="H6988" s="2" t="s">
        <v>6276</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6960</v>
      </c>
      <c r="H6992" s="2" t="s">
        <v>6277</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6960</v>
      </c>
      <c r="H6993" s="2" t="s">
        <v>6278</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6960</v>
      </c>
      <c r="H6994" s="2" t="s">
        <v>6279</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6960</v>
      </c>
      <c r="H6995" s="2" t="s">
        <v>6280</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6960</v>
      </c>
      <c r="H6996" s="2" t="s">
        <v>6281</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6960</v>
      </c>
      <c r="H6997" s="2" t="s">
        <v>6282</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6960</v>
      </c>
      <c r="H6998" s="2" t="s">
        <v>6283</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6960</v>
      </c>
      <c r="H7001" s="2" t="s">
        <v>6284</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6960</v>
      </c>
      <c r="H7002" s="2" t="s">
        <v>6285</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6960</v>
      </c>
      <c r="H7003" s="2" t="s">
        <v>5466</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6960</v>
      </c>
      <c r="H7004" s="2" t="s">
        <v>5467</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6960</v>
      </c>
      <c r="H7005" s="2" t="s">
        <v>6286</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6960</v>
      </c>
      <c r="H7006" s="2" t="s">
        <v>6287</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6960</v>
      </c>
      <c r="H7007" s="2" t="s">
        <v>6288</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6960</v>
      </c>
      <c r="H7008" s="2" t="s">
        <v>6289</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6960</v>
      </c>
      <c r="H7009" s="2" t="s">
        <v>6290</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6960</v>
      </c>
      <c r="H7010" s="2" t="s">
        <v>6291</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6960</v>
      </c>
      <c r="H7011" s="2" t="s">
        <v>6292</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6960</v>
      </c>
      <c r="H7012" s="2" t="s">
        <v>6293</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6960</v>
      </c>
      <c r="H7013" s="2" t="s">
        <v>6294</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6960</v>
      </c>
      <c r="H7014" s="2" t="s">
        <v>6295</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6960</v>
      </c>
      <c r="H7015" s="2" t="s">
        <v>6296</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6960</v>
      </c>
      <c r="H7016" s="2" t="s">
        <v>6297</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6960</v>
      </c>
      <c r="H7017" s="2" t="s">
        <v>6298</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6960</v>
      </c>
      <c r="H7018" s="2" t="s">
        <v>6299</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6960</v>
      </c>
      <c r="H7019" s="2" t="s">
        <v>6300</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6958</v>
      </c>
      <c r="H7020" s="2" t="s">
        <v>5753</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6961</v>
      </c>
      <c r="H7021" s="2" t="s">
        <v>6301</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6961</v>
      </c>
      <c r="H7022" s="2" t="s">
        <v>6302</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6961</v>
      </c>
      <c r="H7023" s="2" t="s">
        <v>6303</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6961</v>
      </c>
      <c r="H7024" s="2" t="s">
        <v>6304</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6961</v>
      </c>
      <c r="H7025" s="2" t="s">
        <v>6305</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6961</v>
      </c>
      <c r="H7026" s="2" t="s">
        <v>6306</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6961</v>
      </c>
      <c r="H7027" s="2" t="s">
        <v>6307</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6961</v>
      </c>
      <c r="H7028" s="2" t="s">
        <v>6308</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6961</v>
      </c>
      <c r="H7029" s="2" t="s">
        <v>6309</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6961</v>
      </c>
      <c r="H7030" s="2" t="s">
        <v>4957</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6961</v>
      </c>
      <c r="H7031" s="2" t="s">
        <v>6310</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6961</v>
      </c>
      <c r="H7032" s="2" t="s">
        <v>6311</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6961</v>
      </c>
      <c r="H7033" s="2" t="s">
        <v>6312</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6961</v>
      </c>
      <c r="H7034" s="2" t="s">
        <v>4958</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6961</v>
      </c>
      <c r="H7035" s="2" t="s">
        <v>6313</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6961</v>
      </c>
      <c r="H7036" s="2" t="s">
        <v>6314</v>
      </c>
      <c r="S7036" s="8"/>
    </row>
    <row r="7037" spans="1:19" x14ac:dyDescent="0.2">
      <c r="A7037">
        <v>7032</v>
      </c>
      <c r="B7037" s="8">
        <f>'BudgetSum 2-4'!J13</f>
        <v>0</v>
      </c>
      <c r="C7037" s="605">
        <f t="shared" si="197"/>
        <v>7032</v>
      </c>
      <c r="D7037" s="3" t="s">
        <v>774</v>
      </c>
      <c r="E7037" s="2" t="b">
        <f t="shared" ca="1" si="196"/>
        <v>1</v>
      </c>
      <c r="F7037" s="2" cm="1">
        <f t="array" aca="1" ref="F7037" ca="1">IF(G7037&lt;&gt;"",INDIRECT("'"&amp;G7037&amp;"'!"&amp;H7037),"")</f>
        <v>0</v>
      </c>
      <c r="G7037" s="1582" t="s">
        <v>6958</v>
      </c>
      <c r="H7037" s="2" t="s">
        <v>5752</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6958</v>
      </c>
      <c r="H7038" s="2" t="s">
        <v>5755</v>
      </c>
      <c r="S7038" s="8"/>
    </row>
    <row r="7039" spans="1:19" x14ac:dyDescent="0.2">
      <c r="A7039">
        <v>7034</v>
      </c>
      <c r="B7039" s="8">
        <f>'BudgetSum 2-4'!C83</f>
        <v>93474</v>
      </c>
      <c r="C7039" s="605">
        <f t="shared" si="197"/>
        <v>-86440</v>
      </c>
      <c r="D7039" s="3" t="s">
        <v>774</v>
      </c>
      <c r="E7039" s="2" t="b">
        <f t="shared" ca="1" si="196"/>
        <v>1</v>
      </c>
      <c r="F7039" s="2" cm="1">
        <f t="array" aca="1" ref="F7039" ca="1">IF(G7039&lt;&gt;"",INDIRECT("'"&amp;G7039&amp;"'!"&amp;H7039),"")</f>
        <v>93474</v>
      </c>
      <c r="G7039" s="1582" t="s">
        <v>6958</v>
      </c>
      <c r="H7039" s="2" t="s">
        <v>5485</v>
      </c>
      <c r="S7039" s="8"/>
    </row>
    <row r="7040" spans="1:19" x14ac:dyDescent="0.2">
      <c r="A7040">
        <v>7035</v>
      </c>
      <c r="B7040" s="8">
        <f>'BudgetSum 2-4'!C85</f>
        <v>0</v>
      </c>
      <c r="C7040" s="605">
        <f t="shared" si="197"/>
        <v>7035</v>
      </c>
      <c r="D7040" s="3" t="s">
        <v>774</v>
      </c>
      <c r="E7040" s="2" t="b">
        <f t="shared" ca="1" si="196"/>
        <v>1</v>
      </c>
      <c r="F7040" s="2" cm="1">
        <f t="array" aca="1" ref="F7040" ca="1">IF(G7040&lt;&gt;"",INDIRECT("'"&amp;G7040&amp;"'!"&amp;H7040),"")</f>
        <v>0</v>
      </c>
      <c r="G7040" s="1582" t="s">
        <v>6958</v>
      </c>
      <c r="H7040" s="2" t="s">
        <v>6315</v>
      </c>
      <c r="S7040" s="8"/>
    </row>
    <row r="7041" spans="1:19" x14ac:dyDescent="0.2">
      <c r="A7041">
        <v>7036</v>
      </c>
      <c r="B7041" s="8">
        <f>'BudgetSum 2-4'!C87</f>
        <v>0</v>
      </c>
      <c r="C7041" s="605">
        <f t="shared" si="197"/>
        <v>7036</v>
      </c>
      <c r="D7041" s="3" t="s">
        <v>774</v>
      </c>
      <c r="E7041" s="2" t="b">
        <f t="shared" ca="1" si="196"/>
        <v>1</v>
      </c>
      <c r="F7041" s="2" cm="1">
        <f t="array" aca="1" ref="F7041" ca="1">IF(G7041&lt;&gt;"",INDIRECT("'"&amp;G7041&amp;"'!"&amp;H7041),"")</f>
        <v>0</v>
      </c>
      <c r="G7041" s="1582" t="s">
        <v>6958</v>
      </c>
      <c r="H7041" s="2" t="s">
        <v>5487</v>
      </c>
      <c r="S7041" s="8"/>
    </row>
    <row r="7042" spans="1:19" x14ac:dyDescent="0.2">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2" t="s">
        <v>6958</v>
      </c>
      <c r="H7042" s="2" t="s">
        <v>5488</v>
      </c>
      <c r="S7042" s="8"/>
    </row>
    <row r="7043" spans="1:19" x14ac:dyDescent="0.2">
      <c r="A7043">
        <v>7038</v>
      </c>
      <c r="B7043" s="8">
        <f>'BudgetSum 2-4'!C89</f>
        <v>93474</v>
      </c>
      <c r="C7043" s="605">
        <f t="shared" si="197"/>
        <v>-86436</v>
      </c>
      <c r="D7043" s="3" t="s">
        <v>774</v>
      </c>
      <c r="E7043" s="2" t="b">
        <f t="shared" ca="1" si="198"/>
        <v>1</v>
      </c>
      <c r="F7043" s="2" cm="1">
        <f t="array" aca="1" ref="F7043" ca="1">IF(G7043&lt;&gt;"",INDIRECT("'"&amp;G7043&amp;"'!"&amp;H7043),"")</f>
        <v>93474</v>
      </c>
      <c r="G7043" s="1582" t="s">
        <v>6958</v>
      </c>
      <c r="H7043" s="2" t="s">
        <v>5489</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6958</v>
      </c>
      <c r="H7044" s="2" t="s">
        <v>5960</v>
      </c>
      <c r="S7044" s="8"/>
    </row>
    <row r="7045" spans="1:19" x14ac:dyDescent="0.2">
      <c r="A7045">
        <v>7040</v>
      </c>
      <c r="B7045" s="8">
        <f>'BudgetSum 2-4'!C91</f>
        <v>6030356</v>
      </c>
      <c r="C7045" s="605">
        <f t="shared" si="199"/>
        <v>-6023316</v>
      </c>
      <c r="D7045" s="3" t="s">
        <v>774</v>
      </c>
      <c r="E7045" s="2" t="b">
        <f t="shared" ca="1" si="198"/>
        <v>1</v>
      </c>
      <c r="F7045" s="2" cm="1">
        <f t="array" aca="1" ref="F7045" ca="1">IF(G7045&lt;&gt;"",INDIRECT("'"&amp;G7045&amp;"'!"&amp;H7045),"")</f>
        <v>6030356</v>
      </c>
      <c r="G7045" s="1582" t="s">
        <v>6958</v>
      </c>
      <c r="H7045" s="2" t="s">
        <v>5491</v>
      </c>
      <c r="S7045" s="8"/>
    </row>
    <row r="7046" spans="1:19" x14ac:dyDescent="0.2">
      <c r="A7046">
        <v>7041</v>
      </c>
      <c r="B7046" s="8">
        <f>'BudgetSum 2-4'!C93</f>
        <v>4133500</v>
      </c>
      <c r="C7046" s="605">
        <f t="shared" si="199"/>
        <v>-4126459</v>
      </c>
      <c r="D7046" s="3" t="s">
        <v>774</v>
      </c>
      <c r="E7046" s="2" t="b">
        <f t="shared" ca="1" si="198"/>
        <v>1</v>
      </c>
      <c r="F7046" s="2" cm="1">
        <f t="array" aca="1" ref="F7046" ca="1">IF(G7046&lt;&gt;"",INDIRECT("'"&amp;G7046&amp;"'!"&amp;H7046),"")</f>
        <v>4133500</v>
      </c>
      <c r="G7046" s="1582" t="s">
        <v>6958</v>
      </c>
      <c r="H7046" s="2" t="s">
        <v>5493</v>
      </c>
      <c r="S7046" s="8"/>
    </row>
    <row r="7047" spans="1:19" x14ac:dyDescent="0.2">
      <c r="A7047">
        <v>7042</v>
      </c>
      <c r="B7047" s="8">
        <f>'BudgetSum 2-4'!C94</f>
        <v>0</v>
      </c>
      <c r="C7047" s="605">
        <f t="shared" si="199"/>
        <v>7042</v>
      </c>
      <c r="D7047" s="3" t="s">
        <v>774</v>
      </c>
      <c r="E7047" s="2" t="b">
        <f t="shared" ca="1" si="198"/>
        <v>1</v>
      </c>
      <c r="F7047" s="2" cm="1">
        <f t="array" aca="1" ref="F7047" ca="1">IF(G7047&lt;&gt;"",INDIRECT("'"&amp;G7047&amp;"'!"&amp;H7047),"")</f>
        <v>0</v>
      </c>
      <c r="G7047" s="1582" t="s">
        <v>6958</v>
      </c>
      <c r="H7047" s="2" t="s">
        <v>5494</v>
      </c>
      <c r="S7047" s="8"/>
    </row>
    <row r="7048" spans="1:19" x14ac:dyDescent="0.2">
      <c r="A7048">
        <v>7043</v>
      </c>
      <c r="B7048" s="8">
        <f>'BudgetSum 2-4'!C95</f>
        <v>885300</v>
      </c>
      <c r="C7048" s="605">
        <f t="shared" si="199"/>
        <v>-878257</v>
      </c>
      <c r="D7048" s="3" t="s">
        <v>774</v>
      </c>
      <c r="E7048" s="2" t="b">
        <f t="shared" ca="1" si="198"/>
        <v>1</v>
      </c>
      <c r="F7048" s="2" cm="1">
        <f t="array" aca="1" ref="F7048" ca="1">IF(G7048&lt;&gt;"",INDIRECT("'"&amp;G7048&amp;"'!"&amp;H7048),"")</f>
        <v>885300</v>
      </c>
      <c r="G7048" s="1582" t="s">
        <v>6958</v>
      </c>
      <c r="H7048" s="2" t="s">
        <v>5495</v>
      </c>
      <c r="S7048" s="8"/>
    </row>
    <row r="7049" spans="1:19" x14ac:dyDescent="0.2">
      <c r="A7049">
        <v>7044</v>
      </c>
      <c r="B7049" s="8">
        <f>'BudgetSum 2-4'!C96</f>
        <v>467700</v>
      </c>
      <c r="C7049" s="605">
        <f t="shared" si="199"/>
        <v>-460656</v>
      </c>
      <c r="D7049" s="3" t="s">
        <v>774</v>
      </c>
      <c r="E7049" s="2" t="b">
        <f t="shared" ca="1" si="198"/>
        <v>1</v>
      </c>
      <c r="F7049" s="2" cm="1">
        <f t="array" aca="1" ref="F7049" ca="1">IF(G7049&lt;&gt;"",INDIRECT("'"&amp;G7049&amp;"'!"&amp;H7049),"")</f>
        <v>467700</v>
      </c>
      <c r="G7049" s="1582" t="s">
        <v>6958</v>
      </c>
      <c r="H7049" s="2" t="s">
        <v>6316</v>
      </c>
      <c r="S7049" s="8"/>
    </row>
    <row r="7050" spans="1:19" x14ac:dyDescent="0.2">
      <c r="A7050">
        <v>7045</v>
      </c>
      <c r="B7050" s="8">
        <f>'BudgetSum 2-4'!C97</f>
        <v>5486500</v>
      </c>
      <c r="C7050" s="605">
        <f t="shared" si="199"/>
        <v>-5479455</v>
      </c>
      <c r="D7050" s="3" t="s">
        <v>774</v>
      </c>
      <c r="E7050" s="2" t="b">
        <f t="shared" ca="1" si="198"/>
        <v>1</v>
      </c>
      <c r="F7050" s="2" cm="1">
        <f t="array" aca="1" ref="F7050" ca="1">IF(G7050&lt;&gt;"",INDIRECT("'"&amp;G7050&amp;"'!"&amp;H7050),"")</f>
        <v>5486500</v>
      </c>
      <c r="G7050" s="1582" t="s">
        <v>6958</v>
      </c>
      <c r="H7050" s="2" t="s">
        <v>5496</v>
      </c>
      <c r="S7050" s="8"/>
    </row>
    <row r="7051" spans="1:19" x14ac:dyDescent="0.2">
      <c r="A7051">
        <v>7046</v>
      </c>
      <c r="B7051" s="8">
        <f>'BudgetSum 2-4'!C98</f>
        <v>945990</v>
      </c>
      <c r="C7051" s="605">
        <f t="shared" si="199"/>
        <v>-938944</v>
      </c>
      <c r="D7051" s="3" t="s">
        <v>774</v>
      </c>
      <c r="E7051" s="2" t="b">
        <f t="shared" ca="1" si="198"/>
        <v>1</v>
      </c>
      <c r="F7051" s="2" cm="1">
        <f t="array" aca="1" ref="F7051" ca="1">IF(G7051&lt;&gt;"",INDIRECT("'"&amp;G7051&amp;"'!"&amp;H7051),"")</f>
        <v>945990</v>
      </c>
      <c r="G7051" s="1582" t="s">
        <v>6958</v>
      </c>
      <c r="H7051" s="2" t="s">
        <v>5497</v>
      </c>
      <c r="S7051" s="8"/>
    </row>
    <row r="7052" spans="1:19" x14ac:dyDescent="0.2">
      <c r="A7052">
        <v>7047</v>
      </c>
      <c r="B7052" s="8">
        <f>'BudgetSum 2-4'!C99</f>
        <v>6432490</v>
      </c>
      <c r="C7052" s="605">
        <f t="shared" si="199"/>
        <v>-6425443</v>
      </c>
      <c r="D7052" s="3" t="s">
        <v>774</v>
      </c>
      <c r="E7052" s="2" t="b">
        <f t="shared" ca="1" si="198"/>
        <v>1</v>
      </c>
      <c r="F7052" s="2" cm="1">
        <f t="array" aca="1" ref="F7052" ca="1">IF(G7052&lt;&gt;"",INDIRECT("'"&amp;G7052&amp;"'!"&amp;H7052),"")</f>
        <v>6432490</v>
      </c>
      <c r="G7052" s="1582" t="s">
        <v>6958</v>
      </c>
      <c r="H7052" s="2" t="s">
        <v>5764</v>
      </c>
      <c r="S7052" s="8"/>
    </row>
    <row r="7053" spans="1:19" x14ac:dyDescent="0.2">
      <c r="A7053">
        <v>7048</v>
      </c>
      <c r="B7053" s="8">
        <f>'BudgetSum 2-4'!C101</f>
        <v>3191350</v>
      </c>
      <c r="C7053" s="605">
        <f t="shared" si="199"/>
        <v>-3184302</v>
      </c>
      <c r="D7053" s="3" t="s">
        <v>774</v>
      </c>
      <c r="E7053" s="2" t="b">
        <f t="shared" ca="1" si="198"/>
        <v>1</v>
      </c>
      <c r="F7053" s="2" cm="1">
        <f t="array" aca="1" ref="F7053" ca="1">IF(G7053&lt;&gt;"",INDIRECT("'"&amp;G7053&amp;"'!"&amp;H7053),"")</f>
        <v>3191350</v>
      </c>
      <c r="G7053" s="1582" t="s">
        <v>6958</v>
      </c>
      <c r="H7053" s="2" t="s">
        <v>5499</v>
      </c>
      <c r="S7053" s="8"/>
    </row>
    <row r="7054" spans="1:19" x14ac:dyDescent="0.2">
      <c r="A7054">
        <v>7049</v>
      </c>
      <c r="B7054" s="8">
        <f>'BudgetSum 2-4'!C102</f>
        <v>1542350</v>
      </c>
      <c r="C7054" s="605">
        <f t="shared" si="199"/>
        <v>-1535301</v>
      </c>
      <c r="D7054" s="3" t="s">
        <v>774</v>
      </c>
      <c r="E7054" s="2" t="b">
        <f t="shared" ca="1" si="198"/>
        <v>1</v>
      </c>
      <c r="F7054" s="2" cm="1">
        <f t="array" aca="1" ref="F7054" ca="1">IF(G7054&lt;&gt;"",INDIRECT("'"&amp;G7054&amp;"'!"&amp;H7054),"")</f>
        <v>1542350</v>
      </c>
      <c r="G7054" s="1582" t="s">
        <v>6958</v>
      </c>
      <c r="H7054" s="2" t="s">
        <v>5774</v>
      </c>
      <c r="S7054" s="8"/>
    </row>
    <row r="7055" spans="1:19" x14ac:dyDescent="0.2">
      <c r="A7055">
        <v>7050</v>
      </c>
      <c r="B7055" s="8">
        <f>'BudgetSum 2-4'!C103</f>
        <v>0</v>
      </c>
      <c r="C7055" s="605">
        <f t="shared" si="199"/>
        <v>7050</v>
      </c>
      <c r="D7055" s="3" t="s">
        <v>774</v>
      </c>
      <c r="E7055" s="2" t="b">
        <f t="shared" ca="1" si="198"/>
        <v>1</v>
      </c>
      <c r="F7055" s="2" cm="1">
        <f t="array" aca="1" ref="F7055" ca="1">IF(G7055&lt;&gt;"",INDIRECT("'"&amp;G7055&amp;"'!"&amp;H7055),"")</f>
        <v>0</v>
      </c>
      <c r="G7055" s="1582" t="s">
        <v>6958</v>
      </c>
      <c r="H7055" s="2" t="s">
        <v>5782</v>
      </c>
      <c r="S7055" s="8"/>
    </row>
    <row r="7056" spans="1:19" x14ac:dyDescent="0.2">
      <c r="A7056">
        <v>7051</v>
      </c>
      <c r="B7056" s="8">
        <f>'BudgetSum 2-4'!C104</f>
        <v>752800</v>
      </c>
      <c r="C7056" s="605">
        <f t="shared" si="199"/>
        <v>-745749</v>
      </c>
      <c r="D7056" s="3" t="s">
        <v>774</v>
      </c>
      <c r="E7056" s="2" t="b">
        <f t="shared" ca="1" si="198"/>
        <v>1</v>
      </c>
      <c r="F7056" s="2" cm="1">
        <f t="array" aca="1" ref="F7056" ca="1">IF(G7056&lt;&gt;"",INDIRECT("'"&amp;G7056&amp;"'!"&amp;H7056),"")</f>
        <v>752800</v>
      </c>
      <c r="G7056" s="1582" t="s">
        <v>6958</v>
      </c>
      <c r="H7056" s="2" t="s">
        <v>5783</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6958</v>
      </c>
      <c r="H7057" s="2" t="s">
        <v>6317</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6958</v>
      </c>
      <c r="H7058" s="2" t="s">
        <v>5432</v>
      </c>
      <c r="S7058" s="8"/>
    </row>
    <row r="7059" spans="1:19" x14ac:dyDescent="0.2">
      <c r="A7059">
        <v>7054</v>
      </c>
      <c r="B7059" s="8">
        <f>'BudgetSum 2-4'!C107</f>
        <v>5486500</v>
      </c>
      <c r="C7059" s="605">
        <f t="shared" si="199"/>
        <v>-5479446</v>
      </c>
      <c r="D7059" s="3" t="s">
        <v>774</v>
      </c>
      <c r="E7059" s="2" t="b">
        <f t="shared" ca="1" si="198"/>
        <v>1</v>
      </c>
      <c r="F7059" s="2" cm="1">
        <f t="array" aca="1" ref="F7059" ca="1">IF(G7059&lt;&gt;"",INDIRECT("'"&amp;G7059&amp;"'!"&amp;H7059),"")</f>
        <v>5486500</v>
      </c>
      <c r="G7059" s="1582" t="s">
        <v>6958</v>
      </c>
      <c r="H7059" s="2" t="s">
        <v>5500</v>
      </c>
      <c r="S7059" s="8"/>
    </row>
    <row r="7060" spans="1:19" x14ac:dyDescent="0.2">
      <c r="A7060">
        <v>7055</v>
      </c>
      <c r="B7060" s="8">
        <f>'BudgetSum 2-4'!C108</f>
        <v>945990</v>
      </c>
      <c r="C7060" s="605">
        <f t="shared" si="199"/>
        <v>-938935</v>
      </c>
      <c r="D7060" s="3" t="s">
        <v>774</v>
      </c>
      <c r="E7060" s="2" t="b">
        <f t="shared" ca="1" si="198"/>
        <v>1</v>
      </c>
      <c r="F7060" s="2" cm="1">
        <f t="array" aca="1" ref="F7060" ca="1">IF(G7060&lt;&gt;"",INDIRECT("'"&amp;G7060&amp;"'!"&amp;H7060),"")</f>
        <v>945990</v>
      </c>
      <c r="G7060" s="1582" t="s">
        <v>6958</v>
      </c>
      <c r="H7060" s="2" t="s">
        <v>5501</v>
      </c>
      <c r="S7060" s="8"/>
    </row>
    <row r="7061" spans="1:19" x14ac:dyDescent="0.2">
      <c r="A7061">
        <v>7056</v>
      </c>
      <c r="B7061" s="8">
        <f>'BudgetSum 2-4'!C109</f>
        <v>6432490</v>
      </c>
      <c r="C7061" s="605">
        <f t="shared" si="199"/>
        <v>-6425434</v>
      </c>
      <c r="D7061" s="3" t="s">
        <v>774</v>
      </c>
      <c r="E7061" s="2" t="b">
        <f t="shared" ca="1" si="198"/>
        <v>1</v>
      </c>
      <c r="F7061" s="2" cm="1">
        <f t="array" aca="1" ref="F7061" ca="1">IF(G7061&lt;&gt;"",INDIRECT("'"&amp;G7061&amp;"'!"&amp;H7061),"")</f>
        <v>6432490</v>
      </c>
      <c r="G7061" s="1582" t="s">
        <v>6958</v>
      </c>
      <c r="H7061" s="2" t="s">
        <v>5502</v>
      </c>
      <c r="S7061" s="8"/>
    </row>
    <row r="7062" spans="1:19" x14ac:dyDescent="0.2">
      <c r="A7062">
        <v>7057</v>
      </c>
      <c r="B7062" s="8">
        <f>'BudgetSum 2-4'!C110</f>
        <v>0</v>
      </c>
      <c r="C7062" s="605">
        <f t="shared" si="199"/>
        <v>7057</v>
      </c>
      <c r="D7062" s="3" t="s">
        <v>774</v>
      </c>
      <c r="E7062" s="2" t="b">
        <f t="shared" ca="1" si="198"/>
        <v>1</v>
      </c>
      <c r="F7062" s="2" cm="1">
        <f t="array" aca="1" ref="F7062" ca="1">IF(G7062&lt;&gt;"",INDIRECT("'"&amp;G7062&amp;"'!"&amp;H7062),"")</f>
        <v>0</v>
      </c>
      <c r="G7062" s="1582" t="s">
        <v>6958</v>
      </c>
      <c r="H7062" s="2" t="s">
        <v>5503</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6958</v>
      </c>
      <c r="H7063" s="2" t="s">
        <v>6318</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6958</v>
      </c>
      <c r="H7064" s="2" t="s">
        <v>4568</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6958</v>
      </c>
      <c r="H7065" s="2" t="s">
        <v>5507</v>
      </c>
      <c r="S7065" s="8"/>
    </row>
    <row r="7066" spans="1:19" x14ac:dyDescent="0.2">
      <c r="A7066">
        <v>7061</v>
      </c>
      <c r="B7066" s="8">
        <f>'BudgetSum 2-4'!C118</f>
        <v>6030356</v>
      </c>
      <c r="C7066" s="605">
        <f t="shared" si="199"/>
        <v>-6023295</v>
      </c>
      <c r="D7066" s="3" t="s">
        <v>774</v>
      </c>
      <c r="E7066" s="2" t="b">
        <f t="shared" ca="1" si="198"/>
        <v>1</v>
      </c>
      <c r="F7066" s="2" cm="1">
        <f t="array" aca="1" ref="F7066" ca="1">IF(G7066&lt;&gt;"",INDIRECT("'"&amp;G7066&amp;"'!"&amp;H7066),"")</f>
        <v>6030356</v>
      </c>
      <c r="G7066" s="1582" t="s">
        <v>6958</v>
      </c>
      <c r="H7066" s="2" t="s">
        <v>6319</v>
      </c>
      <c r="S7066" s="8"/>
    </row>
    <row r="7067" spans="1:19" x14ac:dyDescent="0.2">
      <c r="A7067">
        <v>7062</v>
      </c>
      <c r="B7067" s="8">
        <f>'BudgetSum 2-4'!D91</f>
        <v>1109562</v>
      </c>
      <c r="C7067" s="605">
        <f t="shared" si="199"/>
        <v>-1102500</v>
      </c>
      <c r="D7067" s="3" t="s">
        <v>774</v>
      </c>
      <c r="E7067" s="2" t="b">
        <f t="shared" ca="1" si="198"/>
        <v>1</v>
      </c>
      <c r="F7067" s="2" cm="1">
        <f t="array" aca="1" ref="F7067" ca="1">IF(G7067&lt;&gt;"",INDIRECT("'"&amp;G7067&amp;"'!"&amp;H7067),"")</f>
        <v>1109562</v>
      </c>
      <c r="G7067" s="1582" t="s">
        <v>6958</v>
      </c>
      <c r="H7067" s="2" t="s">
        <v>6320</v>
      </c>
      <c r="S7067" s="8"/>
    </row>
    <row r="7068" spans="1:19" x14ac:dyDescent="0.2">
      <c r="A7068">
        <v>7063</v>
      </c>
      <c r="B7068" s="8">
        <f>'BudgetSum 2-4'!D93</f>
        <v>650781</v>
      </c>
      <c r="C7068" s="605">
        <f t="shared" si="199"/>
        <v>-643718</v>
      </c>
      <c r="D7068" s="3" t="s">
        <v>774</v>
      </c>
      <c r="E7068" s="2" t="b">
        <f t="shared" ca="1" si="198"/>
        <v>1</v>
      </c>
      <c r="F7068" s="2" cm="1">
        <f t="array" aca="1" ref="F7068" ca="1">IF(G7068&lt;&gt;"",INDIRECT("'"&amp;G7068&amp;"'!"&amp;H7068),"")</f>
        <v>650781</v>
      </c>
      <c r="G7068" s="1582" t="s">
        <v>6958</v>
      </c>
      <c r="H7068" s="2" t="s">
        <v>6321</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6958</v>
      </c>
      <c r="H7069" s="2" t="s">
        <v>6322</v>
      </c>
      <c r="S7069" s="8"/>
    </row>
    <row r="7070" spans="1:19" x14ac:dyDescent="0.2">
      <c r="A7070">
        <v>7065</v>
      </c>
      <c r="B7070" s="8">
        <f>'BudgetSum 2-4'!D95</f>
        <v>0</v>
      </c>
      <c r="C7070" s="605">
        <f t="shared" si="199"/>
        <v>7065</v>
      </c>
      <c r="D7070" s="3" t="s">
        <v>774</v>
      </c>
      <c r="E7070" s="2" t="b">
        <f t="shared" ca="1" si="198"/>
        <v>1</v>
      </c>
      <c r="F7070" s="2" cm="1">
        <f t="array" aca="1" ref="F7070" ca="1">IF(G7070&lt;&gt;"",INDIRECT("'"&amp;G7070&amp;"'!"&amp;H7070),"")</f>
        <v>0</v>
      </c>
      <c r="G7070" s="1582" t="s">
        <v>6958</v>
      </c>
      <c r="H7070" s="2" t="s">
        <v>6323</v>
      </c>
      <c r="S7070" s="8"/>
    </row>
    <row r="7071" spans="1:19" x14ac:dyDescent="0.2">
      <c r="A7071">
        <v>7066</v>
      </c>
      <c r="B7071" s="8">
        <f>'BudgetSum 2-4'!D96</f>
        <v>0</v>
      </c>
      <c r="C7071" s="605">
        <f t="shared" si="199"/>
        <v>7066</v>
      </c>
      <c r="D7071" s="3" t="s">
        <v>774</v>
      </c>
      <c r="E7071" s="2" t="b">
        <f t="shared" ca="1" si="198"/>
        <v>1</v>
      </c>
      <c r="F7071" s="2" cm="1">
        <f t="array" aca="1" ref="F7071" ca="1">IF(G7071&lt;&gt;"",INDIRECT("'"&amp;G7071&amp;"'!"&amp;H7071),"")</f>
        <v>0</v>
      </c>
      <c r="G7071" s="1582" t="s">
        <v>6958</v>
      </c>
      <c r="H7071" s="2" t="s">
        <v>6324</v>
      </c>
      <c r="S7071" s="8"/>
    </row>
    <row r="7072" spans="1:19" x14ac:dyDescent="0.2">
      <c r="A7072">
        <v>7067</v>
      </c>
      <c r="B7072" s="8">
        <f>'BudgetSum 2-4'!D97</f>
        <v>650781</v>
      </c>
      <c r="C7072" s="605">
        <f t="shared" si="199"/>
        <v>-643714</v>
      </c>
      <c r="D7072" s="3" t="s">
        <v>774</v>
      </c>
      <c r="E7072" s="2" t="b">
        <f t="shared" ca="1" si="198"/>
        <v>1</v>
      </c>
      <c r="F7072" s="2" cm="1">
        <f t="array" aca="1" ref="F7072" ca="1">IF(G7072&lt;&gt;"",INDIRECT("'"&amp;G7072&amp;"'!"&amp;H7072),"")</f>
        <v>650781</v>
      </c>
      <c r="G7072" s="1582" t="s">
        <v>6958</v>
      </c>
      <c r="H7072" s="2" t="s">
        <v>5560</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6958</v>
      </c>
      <c r="H7073" s="2" t="s">
        <v>5561</v>
      </c>
      <c r="S7073" s="8"/>
    </row>
    <row r="7074" spans="1:19" x14ac:dyDescent="0.2">
      <c r="A7074">
        <v>7069</v>
      </c>
      <c r="B7074" s="8">
        <f>'BudgetSum 2-4'!D99</f>
        <v>650781</v>
      </c>
      <c r="C7074" s="605">
        <f t="shared" si="199"/>
        <v>-643712</v>
      </c>
      <c r="D7074" s="3" t="s">
        <v>774</v>
      </c>
      <c r="E7074" s="2" t="b">
        <f t="shared" ca="1" si="198"/>
        <v>1</v>
      </c>
      <c r="F7074" s="2" cm="1">
        <f t="array" aca="1" ref="F7074" ca="1">IF(G7074&lt;&gt;"",INDIRECT("'"&amp;G7074&amp;"'!"&amp;H7074),"")</f>
        <v>650781</v>
      </c>
      <c r="G7074" s="1582" t="s">
        <v>6958</v>
      </c>
      <c r="H7074" s="2" t="s">
        <v>5765</v>
      </c>
      <c r="S7074" s="8"/>
    </row>
    <row r="7075" spans="1:19" x14ac:dyDescent="0.2">
      <c r="A7075">
        <v>7070</v>
      </c>
      <c r="B7075" s="8">
        <f>'BudgetSum 2-4'!D102</f>
        <v>650781</v>
      </c>
      <c r="C7075" s="605">
        <f t="shared" si="199"/>
        <v>-643711</v>
      </c>
      <c r="D7075" s="3" t="s">
        <v>774</v>
      </c>
      <c r="E7075" s="2" t="b">
        <f t="shared" ca="1" si="198"/>
        <v>1</v>
      </c>
      <c r="F7075" s="2" cm="1">
        <f t="array" aca="1" ref="F7075" ca="1">IF(G7075&lt;&gt;"",INDIRECT("'"&amp;G7075&amp;"'!"&amp;H7075),"")</f>
        <v>650781</v>
      </c>
      <c r="G7075" s="1582" t="s">
        <v>6958</v>
      </c>
      <c r="H7075" s="2" t="s">
        <v>5775</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6958</v>
      </c>
      <c r="H7076" s="2" t="s">
        <v>6325</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6958</v>
      </c>
      <c r="H7077" s="2" t="s">
        <v>5784</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6958</v>
      </c>
      <c r="H7078" s="2" t="s">
        <v>6326</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6958</v>
      </c>
      <c r="H7079" s="2" t="s">
        <v>5564</v>
      </c>
      <c r="S7079" s="8"/>
    </row>
    <row r="7080" spans="1:19" x14ac:dyDescent="0.2">
      <c r="A7080">
        <v>7075</v>
      </c>
      <c r="B7080" s="8">
        <f>'BudgetSum 2-4'!D107</f>
        <v>650781</v>
      </c>
      <c r="C7080" s="605">
        <f t="shared" si="199"/>
        <v>-643706</v>
      </c>
      <c r="D7080" s="3" t="s">
        <v>774</v>
      </c>
      <c r="E7080" s="2" t="b">
        <f t="shared" ca="1" si="198"/>
        <v>1</v>
      </c>
      <c r="F7080" s="2" cm="1">
        <f t="array" aca="1" ref="F7080" ca="1">IF(G7080&lt;&gt;"",INDIRECT("'"&amp;G7080&amp;"'!"&amp;H7080),"")</f>
        <v>650781</v>
      </c>
      <c r="G7080" s="1582" t="s">
        <v>6958</v>
      </c>
      <c r="H7080" s="2" t="s">
        <v>6327</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6958</v>
      </c>
      <c r="H7081" s="2" t="s">
        <v>5790</v>
      </c>
      <c r="S7081" s="8"/>
    </row>
    <row r="7082" spans="1:19" x14ac:dyDescent="0.2">
      <c r="A7082">
        <v>7077</v>
      </c>
      <c r="B7082" s="8">
        <f>'BudgetSum 2-4'!D109</f>
        <v>650781</v>
      </c>
      <c r="C7082" s="605">
        <f t="shared" si="199"/>
        <v>-643704</v>
      </c>
      <c r="D7082" s="3" t="s">
        <v>774</v>
      </c>
      <c r="E7082" s="2" t="b">
        <f t="shared" ca="1" si="198"/>
        <v>1</v>
      </c>
      <c r="F7082" s="2" cm="1">
        <f t="array" aca="1" ref="F7082" ca="1">IF(G7082&lt;&gt;"",INDIRECT("'"&amp;G7082&amp;"'!"&amp;H7082),"")</f>
        <v>650781</v>
      </c>
      <c r="G7082" s="1582" t="s">
        <v>6958</v>
      </c>
      <c r="H7082" s="2" t="s">
        <v>5565</v>
      </c>
      <c r="S7082" s="8"/>
    </row>
    <row r="7083" spans="1:19" x14ac:dyDescent="0.2">
      <c r="A7083">
        <v>7078</v>
      </c>
      <c r="B7083" s="8">
        <f>'BudgetSum 2-4'!D110</f>
        <v>0</v>
      </c>
      <c r="C7083" s="605">
        <f t="shared" si="199"/>
        <v>7078</v>
      </c>
      <c r="D7083" s="3" t="s">
        <v>774</v>
      </c>
      <c r="E7083" s="2" t="b">
        <f t="shared" ca="1" si="198"/>
        <v>1</v>
      </c>
      <c r="F7083" s="2" cm="1">
        <f t="array" aca="1" ref="F7083" ca="1">IF(G7083&lt;&gt;"",INDIRECT("'"&amp;G7083&amp;"'!"&amp;H7083),"")</f>
        <v>0</v>
      </c>
      <c r="G7083" s="1582" t="s">
        <v>6958</v>
      </c>
      <c r="H7083" s="2" t="s">
        <v>5566</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6958</v>
      </c>
      <c r="H7084" s="2" t="s">
        <v>6328</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6958</v>
      </c>
      <c r="H7085" s="2" t="s">
        <v>4605</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6958</v>
      </c>
      <c r="H7086" s="2" t="s">
        <v>5570</v>
      </c>
      <c r="S7086" s="8"/>
    </row>
    <row r="7087" spans="1:19" x14ac:dyDescent="0.2">
      <c r="A7087">
        <v>7082</v>
      </c>
      <c r="B7087" s="8">
        <f>'BudgetSum 2-4'!D118</f>
        <v>1109562</v>
      </c>
      <c r="C7087" s="605">
        <f t="shared" si="199"/>
        <v>-1102480</v>
      </c>
      <c r="D7087" s="3" t="s">
        <v>774</v>
      </c>
      <c r="E7087" s="2" t="b">
        <f t="shared" ca="1" si="198"/>
        <v>1</v>
      </c>
      <c r="F7087" s="2" cm="1">
        <f t="array" aca="1" ref="F7087" ca="1">IF(G7087&lt;&gt;"",INDIRECT("'"&amp;G7087&amp;"'!"&amp;H7087),"")</f>
        <v>1109562</v>
      </c>
      <c r="G7087" s="1582" t="s">
        <v>6958</v>
      </c>
      <c r="H7087" s="2" t="s">
        <v>6329</v>
      </c>
      <c r="S7087" s="8"/>
    </row>
    <row r="7088" spans="1:19" x14ac:dyDescent="0.2">
      <c r="A7088">
        <v>7083</v>
      </c>
      <c r="B7088" s="8">
        <f>'BudgetSum 2-4'!E91</f>
        <v>140269</v>
      </c>
      <c r="C7088" s="605">
        <f t="shared" si="199"/>
        <v>-133186</v>
      </c>
      <c r="D7088" s="3" t="s">
        <v>774</v>
      </c>
      <c r="E7088" s="2" t="b">
        <f t="shared" ca="1" si="198"/>
        <v>1</v>
      </c>
      <c r="F7088" s="2" cm="1">
        <f t="array" aca="1" ref="F7088" ca="1">IF(G7088&lt;&gt;"",INDIRECT("'"&amp;G7088&amp;"'!"&amp;H7088),"")</f>
        <v>140269</v>
      </c>
      <c r="G7088" s="1582" t="s">
        <v>6958</v>
      </c>
      <c r="H7088" s="2" t="s">
        <v>6330</v>
      </c>
      <c r="S7088" s="8"/>
    </row>
    <row r="7089" spans="1:19" x14ac:dyDescent="0.2">
      <c r="A7089">
        <v>7084</v>
      </c>
      <c r="B7089" s="8">
        <f>'BudgetSum 2-4'!E93</f>
        <v>0</v>
      </c>
      <c r="C7089" s="605">
        <f t="shared" si="199"/>
        <v>7084</v>
      </c>
      <c r="D7089" s="3" t="s">
        <v>774</v>
      </c>
      <c r="E7089" s="2" t="b">
        <f t="shared" ca="1" si="198"/>
        <v>1</v>
      </c>
      <c r="F7089" s="2" cm="1">
        <f t="array" aca="1" ref="F7089" ca="1">IF(G7089&lt;&gt;"",INDIRECT("'"&amp;G7089&amp;"'!"&amp;H7089),"")</f>
        <v>0</v>
      </c>
      <c r="G7089" s="1582" t="s">
        <v>6958</v>
      </c>
      <c r="H7089" s="2" t="s">
        <v>6331</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6958</v>
      </c>
      <c r="H7090" s="2" t="s">
        <v>6332</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6958</v>
      </c>
      <c r="H7091" s="2" t="s">
        <v>6333</v>
      </c>
      <c r="S7091" s="8"/>
    </row>
    <row r="7092" spans="1:19" x14ac:dyDescent="0.2">
      <c r="A7092">
        <v>7087</v>
      </c>
      <c r="B7092" s="8">
        <f>'BudgetSum 2-4'!E97</f>
        <v>0</v>
      </c>
      <c r="C7092" s="605">
        <f t="shared" si="199"/>
        <v>7087</v>
      </c>
      <c r="D7092" s="3" t="s">
        <v>774</v>
      </c>
      <c r="E7092" s="2" t="b">
        <f t="shared" ca="1" si="198"/>
        <v>1</v>
      </c>
      <c r="F7092" s="2" cm="1">
        <f t="array" aca="1" ref="F7092" ca="1">IF(G7092&lt;&gt;"",INDIRECT("'"&amp;G7092&amp;"'!"&amp;H7092),"")</f>
        <v>0</v>
      </c>
      <c r="G7092" s="1582" t="s">
        <v>6958</v>
      </c>
      <c r="H7092" s="2" t="s">
        <v>6334</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6958</v>
      </c>
      <c r="H7093" s="2" t="s">
        <v>5601</v>
      </c>
      <c r="S7093" s="8"/>
    </row>
    <row r="7094" spans="1:19" x14ac:dyDescent="0.2">
      <c r="A7094">
        <v>7089</v>
      </c>
      <c r="B7094" s="8">
        <f>'BudgetSum 2-4'!E99</f>
        <v>0</v>
      </c>
      <c r="C7094" s="605">
        <f t="shared" si="199"/>
        <v>7089</v>
      </c>
      <c r="D7094" s="3" t="s">
        <v>774</v>
      </c>
      <c r="E7094" s="2" t="b">
        <f t="shared" ca="1" si="198"/>
        <v>1</v>
      </c>
      <c r="F7094" s="2" cm="1">
        <f t="array" aca="1" ref="F7094" ca="1">IF(G7094&lt;&gt;"",INDIRECT("'"&amp;G7094&amp;"'!"&amp;H7094),"")</f>
        <v>0</v>
      </c>
      <c r="G7094" s="1582" t="s">
        <v>6958</v>
      </c>
      <c r="H7094" s="2" t="s">
        <v>5766</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6958</v>
      </c>
      <c r="H7095" s="2" t="s">
        <v>5112</v>
      </c>
      <c r="S7095" s="8"/>
    </row>
    <row r="7096" spans="1:19" x14ac:dyDescent="0.2">
      <c r="A7096">
        <v>7091</v>
      </c>
      <c r="B7096" s="8">
        <f>'BudgetSum 2-4'!E105</f>
        <v>0</v>
      </c>
      <c r="C7096" s="605">
        <f t="shared" si="199"/>
        <v>7091</v>
      </c>
      <c r="D7096" s="3" t="s">
        <v>774</v>
      </c>
      <c r="E7096" s="2" t="b">
        <f t="shared" ca="1" si="198"/>
        <v>1</v>
      </c>
      <c r="F7096" s="2" cm="1">
        <f t="array" aca="1" ref="F7096" ca="1">IF(G7096&lt;&gt;"",INDIRECT("'"&amp;G7096&amp;"'!"&amp;H7096),"")</f>
        <v>0</v>
      </c>
      <c r="G7096" s="1582" t="s">
        <v>6958</v>
      </c>
      <c r="H7096" s="2" t="s">
        <v>6055</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6958</v>
      </c>
      <c r="H7097" s="2" t="s">
        <v>5603</v>
      </c>
      <c r="S7097" s="8"/>
    </row>
    <row r="7098" spans="1:19" x14ac:dyDescent="0.2">
      <c r="A7098">
        <v>7093</v>
      </c>
      <c r="B7098" s="8">
        <f>'BudgetSum 2-4'!E107</f>
        <v>0</v>
      </c>
      <c r="C7098" s="605">
        <f t="shared" si="199"/>
        <v>7093</v>
      </c>
      <c r="D7098" s="3" t="s">
        <v>774</v>
      </c>
      <c r="E7098" s="2" t="b">
        <f t="shared" ca="1" si="198"/>
        <v>1</v>
      </c>
      <c r="F7098" s="2" cm="1">
        <f t="array" aca="1" ref="F7098" ca="1">IF(G7098&lt;&gt;"",INDIRECT("'"&amp;G7098&amp;"'!"&amp;H7098),"")</f>
        <v>0</v>
      </c>
      <c r="G7098" s="1582" t="s">
        <v>6958</v>
      </c>
      <c r="H7098" s="2" t="s">
        <v>6335</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6958</v>
      </c>
      <c r="H7099" s="2" t="s">
        <v>5791</v>
      </c>
      <c r="S7099" s="8"/>
    </row>
    <row r="7100" spans="1:19" x14ac:dyDescent="0.2">
      <c r="A7100">
        <v>7095</v>
      </c>
      <c r="B7100" s="8">
        <f>'BudgetSum 2-4'!E109</f>
        <v>0</v>
      </c>
      <c r="C7100" s="605">
        <f t="shared" si="199"/>
        <v>7095</v>
      </c>
      <c r="D7100" s="3" t="s">
        <v>774</v>
      </c>
      <c r="E7100" s="2" t="b">
        <f t="shared" ca="1" si="198"/>
        <v>1</v>
      </c>
      <c r="F7100" s="2" cm="1">
        <f t="array" aca="1" ref="F7100" ca="1">IF(G7100&lt;&gt;"",INDIRECT("'"&amp;G7100&amp;"'!"&amp;H7100),"")</f>
        <v>0</v>
      </c>
      <c r="G7100" s="1582" t="s">
        <v>6958</v>
      </c>
      <c r="H7100" s="2" t="s">
        <v>5604</v>
      </c>
      <c r="S7100" s="8"/>
    </row>
    <row r="7101" spans="1:19" x14ac:dyDescent="0.2">
      <c r="A7101">
        <v>7096</v>
      </c>
      <c r="B7101" s="8">
        <f>'BudgetSum 2-4'!E110</f>
        <v>0</v>
      </c>
      <c r="C7101" s="605">
        <f t="shared" si="199"/>
        <v>7096</v>
      </c>
      <c r="D7101" s="3" t="s">
        <v>774</v>
      </c>
      <c r="E7101" s="2" t="b">
        <f t="shared" ca="1" si="198"/>
        <v>1</v>
      </c>
      <c r="F7101" s="2" cm="1">
        <f t="array" aca="1" ref="F7101" ca="1">IF(G7101&lt;&gt;"",INDIRECT("'"&amp;G7101&amp;"'!"&amp;H7101),"")</f>
        <v>0</v>
      </c>
      <c r="G7101" s="1582" t="s">
        <v>6958</v>
      </c>
      <c r="H7101" s="2" t="s">
        <v>5605</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6958</v>
      </c>
      <c r="H7102" s="2" t="s">
        <v>6336</v>
      </c>
      <c r="S7102" s="8"/>
    </row>
    <row r="7103" spans="1:19" x14ac:dyDescent="0.2">
      <c r="A7103">
        <v>7098</v>
      </c>
      <c r="B7103" s="8">
        <f>'BudgetSum 2-4'!E116</f>
        <v>0</v>
      </c>
      <c r="C7103" s="605">
        <f t="shared" si="199"/>
        <v>7098</v>
      </c>
      <c r="D7103" s="3" t="s">
        <v>774</v>
      </c>
      <c r="E7103" s="2" t="b">
        <f t="shared" ca="1" si="198"/>
        <v>1</v>
      </c>
      <c r="F7103" s="2" cm="1">
        <f t="array" aca="1" ref="F7103" ca="1">IF(G7103&lt;&gt;"",INDIRECT("'"&amp;G7103&amp;"'!"&amp;H7103),"")</f>
        <v>0</v>
      </c>
      <c r="G7103" s="1582" t="s">
        <v>6958</v>
      </c>
      <c r="H7103" s="2" t="s">
        <v>4643</v>
      </c>
      <c r="S7103" s="8"/>
    </row>
    <row r="7104" spans="1:19" x14ac:dyDescent="0.2">
      <c r="A7104">
        <v>7099</v>
      </c>
      <c r="B7104" s="8">
        <f>'BudgetSum 2-4'!E117</f>
        <v>0</v>
      </c>
      <c r="C7104" s="605">
        <f t="shared" si="199"/>
        <v>7099</v>
      </c>
      <c r="D7104" s="3" t="s">
        <v>774</v>
      </c>
      <c r="E7104" s="2" t="b">
        <f t="shared" ca="1" si="198"/>
        <v>1</v>
      </c>
      <c r="F7104" s="2" cm="1">
        <f t="array" aca="1" ref="F7104" ca="1">IF(G7104&lt;&gt;"",INDIRECT("'"&amp;G7104&amp;"'!"&amp;H7104),"")</f>
        <v>0</v>
      </c>
      <c r="G7104" s="1582" t="s">
        <v>6958</v>
      </c>
      <c r="H7104" s="2" t="s">
        <v>6337</v>
      </c>
      <c r="S7104" s="8"/>
    </row>
    <row r="7105" spans="1:19" x14ac:dyDescent="0.2">
      <c r="A7105">
        <v>7100</v>
      </c>
      <c r="B7105" s="8">
        <f>'BudgetSum 2-4'!E118</f>
        <v>140269</v>
      </c>
      <c r="C7105" s="605">
        <f t="shared" si="199"/>
        <v>-133169</v>
      </c>
      <c r="D7105" s="3" t="s">
        <v>774</v>
      </c>
      <c r="E7105" s="2" t="b">
        <f t="shared" ca="1" si="198"/>
        <v>1</v>
      </c>
      <c r="F7105" s="2" cm="1">
        <f t="array" aca="1" ref="F7105" ca="1">IF(G7105&lt;&gt;"",INDIRECT("'"&amp;G7105&amp;"'!"&amp;H7105),"")</f>
        <v>140269</v>
      </c>
      <c r="G7105" s="1582" t="s">
        <v>6958</v>
      </c>
      <c r="H7105" s="2" t="s">
        <v>6338</v>
      </c>
      <c r="S7105" s="8"/>
    </row>
    <row r="7106" spans="1:19" x14ac:dyDescent="0.2">
      <c r="A7106">
        <v>7101</v>
      </c>
      <c r="B7106" s="8">
        <f>'BudgetSum 2-4'!F91</f>
        <v>489804</v>
      </c>
      <c r="C7106" s="605">
        <f t="shared" si="199"/>
        <v>-482703</v>
      </c>
      <c r="D7106" s="3" t="s">
        <v>774</v>
      </c>
      <c r="E7106" s="2" t="b">
        <f t="shared" ref="E7106:E7169" ca="1" si="200">F7106=B7106</f>
        <v>1</v>
      </c>
      <c r="F7106" s="2" cm="1">
        <f t="array" aca="1" ref="F7106" ca="1">IF(G7106&lt;&gt;"",INDIRECT("'"&amp;G7106&amp;"'!"&amp;H7106),"")</f>
        <v>489804</v>
      </c>
      <c r="G7106" s="1582" t="s">
        <v>6958</v>
      </c>
      <c r="H7106" s="2" t="s">
        <v>6339</v>
      </c>
      <c r="S7106" s="8"/>
    </row>
    <row r="7107" spans="1:19" x14ac:dyDescent="0.2">
      <c r="A7107">
        <v>7102</v>
      </c>
      <c r="B7107" s="8">
        <f>'BudgetSum 2-4'!F93</f>
        <v>208000</v>
      </c>
      <c r="C7107" s="605">
        <f t="shared" si="199"/>
        <v>-200898</v>
      </c>
      <c r="D7107" s="3" t="s">
        <v>774</v>
      </c>
      <c r="E7107" s="2" t="b">
        <f t="shared" ca="1" si="200"/>
        <v>1</v>
      </c>
      <c r="F7107" s="2" cm="1">
        <f t="array" aca="1" ref="F7107" ca="1">IF(G7107&lt;&gt;"",INDIRECT("'"&amp;G7107&amp;"'!"&amp;H7107),"")</f>
        <v>208000</v>
      </c>
      <c r="G7107" s="1582" t="s">
        <v>6958</v>
      </c>
      <c r="H7107" s="2" t="s">
        <v>6340</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6958</v>
      </c>
      <c r="H7108" s="2" t="s">
        <v>6341</v>
      </c>
      <c r="S7108" s="8"/>
    </row>
    <row r="7109" spans="1:19" x14ac:dyDescent="0.2">
      <c r="A7109">
        <v>7104</v>
      </c>
      <c r="B7109" s="8">
        <f>'BudgetSum 2-4'!F95</f>
        <v>105000</v>
      </c>
      <c r="C7109" s="605">
        <f t="shared" si="201"/>
        <v>-97896</v>
      </c>
      <c r="D7109" s="3" t="s">
        <v>774</v>
      </c>
      <c r="E7109" s="2" t="b">
        <f t="shared" ca="1" si="200"/>
        <v>1</v>
      </c>
      <c r="F7109" s="2" cm="1">
        <f t="array" aca="1" ref="F7109" ca="1">IF(G7109&lt;&gt;"",INDIRECT("'"&amp;G7109&amp;"'!"&amp;H7109),"")</f>
        <v>105000</v>
      </c>
      <c r="G7109" s="1582" t="s">
        <v>6958</v>
      </c>
      <c r="H7109" s="2" t="s">
        <v>6342</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6958</v>
      </c>
      <c r="H7110" s="2" t="s">
        <v>6343</v>
      </c>
      <c r="S7110" s="8"/>
    </row>
    <row r="7111" spans="1:19" x14ac:dyDescent="0.2">
      <c r="A7111">
        <v>7106</v>
      </c>
      <c r="B7111" s="8">
        <f>'BudgetSum 2-4'!F97</f>
        <v>313000</v>
      </c>
      <c r="C7111" s="605">
        <f t="shared" si="201"/>
        <v>-305894</v>
      </c>
      <c r="D7111" s="3" t="s">
        <v>774</v>
      </c>
      <c r="E7111" s="2" t="b">
        <f t="shared" ca="1" si="200"/>
        <v>1</v>
      </c>
      <c r="F7111" s="2" cm="1">
        <f t="array" aca="1" ref="F7111" ca="1">IF(G7111&lt;&gt;"",INDIRECT("'"&amp;G7111&amp;"'!"&amp;H7111),"")</f>
        <v>313000</v>
      </c>
      <c r="G7111" s="1582" t="s">
        <v>6958</v>
      </c>
      <c r="H7111" s="2" t="s">
        <v>6344</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6958</v>
      </c>
      <c r="H7112" s="2" t="s">
        <v>5614</v>
      </c>
      <c r="S7112" s="8"/>
    </row>
    <row r="7113" spans="1:19" x14ac:dyDescent="0.2">
      <c r="A7113">
        <v>7108</v>
      </c>
      <c r="B7113" s="8">
        <f>'BudgetSum 2-4'!F99</f>
        <v>313000</v>
      </c>
      <c r="C7113" s="605">
        <f t="shared" si="201"/>
        <v>-305892</v>
      </c>
      <c r="D7113" s="3" t="s">
        <v>774</v>
      </c>
      <c r="E7113" s="2" t="b">
        <f t="shared" ca="1" si="200"/>
        <v>1</v>
      </c>
      <c r="F7113" s="2" cm="1">
        <f t="array" aca="1" ref="F7113" ca="1">IF(G7113&lt;&gt;"",INDIRECT("'"&amp;G7113&amp;"'!"&amp;H7113),"")</f>
        <v>313000</v>
      </c>
      <c r="G7113" s="1582" t="s">
        <v>6958</v>
      </c>
      <c r="H7113" s="2" t="s">
        <v>5767</v>
      </c>
      <c r="S7113" s="8"/>
    </row>
    <row r="7114" spans="1:19" x14ac:dyDescent="0.2">
      <c r="A7114">
        <v>7109</v>
      </c>
      <c r="B7114" s="8">
        <f>'BudgetSum 2-4'!F102</f>
        <v>354000</v>
      </c>
      <c r="C7114" s="605">
        <f t="shared" si="201"/>
        <v>-346891</v>
      </c>
      <c r="D7114" s="3" t="s">
        <v>774</v>
      </c>
      <c r="E7114" s="2" t="b">
        <f t="shared" ca="1" si="200"/>
        <v>1</v>
      </c>
      <c r="F7114" s="2" cm="1">
        <f t="array" aca="1" ref="F7114" ca="1">IF(G7114&lt;&gt;"",INDIRECT("'"&amp;G7114&amp;"'!"&amp;H7114),"")</f>
        <v>354000</v>
      </c>
      <c r="G7114" s="1582" t="s">
        <v>6958</v>
      </c>
      <c r="H7114" s="2" t="s">
        <v>5777</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6958</v>
      </c>
      <c r="H7115" s="2" t="s">
        <v>6345</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6958</v>
      </c>
      <c r="H7116" s="2" t="s">
        <v>5785</v>
      </c>
      <c r="S7116" s="8"/>
    </row>
    <row r="7117" spans="1:19" x14ac:dyDescent="0.2">
      <c r="A7117">
        <v>7112</v>
      </c>
      <c r="B7117" s="8">
        <f>'BudgetSum 2-4'!F105</f>
        <v>0</v>
      </c>
      <c r="C7117" s="605">
        <f t="shared" si="201"/>
        <v>7112</v>
      </c>
      <c r="D7117" s="3" t="s">
        <v>774</v>
      </c>
      <c r="E7117" s="2" t="b">
        <f t="shared" ca="1" si="200"/>
        <v>1</v>
      </c>
      <c r="F7117" s="2" cm="1">
        <f t="array" aca="1" ref="F7117" ca="1">IF(G7117&lt;&gt;"",INDIRECT("'"&amp;G7117&amp;"'!"&amp;H7117),"")</f>
        <v>0</v>
      </c>
      <c r="G7117" s="1582" t="s">
        <v>6958</v>
      </c>
      <c r="H7117" s="2" t="s">
        <v>6346</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6958</v>
      </c>
      <c r="H7118" s="2" t="s">
        <v>5475</v>
      </c>
      <c r="S7118" s="8"/>
    </row>
    <row r="7119" spans="1:19" x14ac:dyDescent="0.2">
      <c r="A7119">
        <v>7114</v>
      </c>
      <c r="B7119" s="8">
        <f>'BudgetSum 2-4'!F107</f>
        <v>354000</v>
      </c>
      <c r="C7119" s="605">
        <f t="shared" si="201"/>
        <v>-346886</v>
      </c>
      <c r="D7119" s="3" t="s">
        <v>774</v>
      </c>
      <c r="E7119" s="2" t="b">
        <f t="shared" ca="1" si="200"/>
        <v>1</v>
      </c>
      <c r="F7119" s="2" cm="1">
        <f t="array" aca="1" ref="F7119" ca="1">IF(G7119&lt;&gt;"",INDIRECT("'"&amp;G7119&amp;"'!"&amp;H7119),"")</f>
        <v>354000</v>
      </c>
      <c r="G7119" s="1582" t="s">
        <v>6958</v>
      </c>
      <c r="H7119" s="2" t="s">
        <v>6347</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6958</v>
      </c>
      <c r="H7120" s="2" t="s">
        <v>5792</v>
      </c>
      <c r="S7120" s="8"/>
    </row>
    <row r="7121" spans="1:19" x14ac:dyDescent="0.2">
      <c r="A7121">
        <v>7116</v>
      </c>
      <c r="B7121" s="8">
        <f>'BudgetSum 2-4'!F109</f>
        <v>354000</v>
      </c>
      <c r="C7121" s="605">
        <f t="shared" si="201"/>
        <v>-346884</v>
      </c>
      <c r="D7121" s="3" t="s">
        <v>774</v>
      </c>
      <c r="E7121" s="2" t="b">
        <f t="shared" ca="1" si="200"/>
        <v>1</v>
      </c>
      <c r="F7121" s="2" cm="1">
        <f t="array" aca="1" ref="F7121" ca="1">IF(G7121&lt;&gt;"",INDIRECT("'"&amp;G7121&amp;"'!"&amp;H7121),"")</f>
        <v>354000</v>
      </c>
      <c r="G7121" s="1582" t="s">
        <v>6958</v>
      </c>
      <c r="H7121" s="2" t="s">
        <v>5617</v>
      </c>
      <c r="S7121" s="8"/>
    </row>
    <row r="7122" spans="1:19" x14ac:dyDescent="0.2">
      <c r="A7122">
        <v>7117</v>
      </c>
      <c r="B7122" s="8">
        <f>'BudgetSum 2-4'!F110</f>
        <v>-41000</v>
      </c>
      <c r="C7122" s="605">
        <f t="shared" si="201"/>
        <v>48117</v>
      </c>
      <c r="D7122" s="3" t="s">
        <v>774</v>
      </c>
      <c r="E7122" s="2" t="b">
        <f t="shared" ca="1" si="200"/>
        <v>1</v>
      </c>
      <c r="F7122" s="2" cm="1">
        <f t="array" aca="1" ref="F7122" ca="1">IF(G7122&lt;&gt;"",INDIRECT("'"&amp;G7122&amp;"'!"&amp;H7122),"")</f>
        <v>-41000</v>
      </c>
      <c r="G7122" s="1582" t="s">
        <v>6958</v>
      </c>
      <c r="H7122" s="2" t="s">
        <v>5618</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6958</v>
      </c>
      <c r="H7123" s="2" t="s">
        <v>6348</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6958</v>
      </c>
      <c r="H7124" s="2" t="s">
        <v>4680</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6958</v>
      </c>
      <c r="H7125" s="2" t="s">
        <v>5622</v>
      </c>
      <c r="S7125" s="8"/>
    </row>
    <row r="7126" spans="1:19" x14ac:dyDescent="0.2">
      <c r="A7126">
        <v>7121</v>
      </c>
      <c r="B7126" s="8">
        <f>'BudgetSum 2-4'!F118</f>
        <v>448804</v>
      </c>
      <c r="C7126" s="605">
        <f t="shared" si="201"/>
        <v>-441683</v>
      </c>
      <c r="D7126" s="3" t="s">
        <v>774</v>
      </c>
      <c r="E7126" s="2" t="b">
        <f t="shared" ca="1" si="200"/>
        <v>1</v>
      </c>
      <c r="F7126" s="2" cm="1">
        <f t="array" aca="1" ref="F7126" ca="1">IF(G7126&lt;&gt;"",INDIRECT("'"&amp;G7126&amp;"'!"&amp;H7126),"")</f>
        <v>448804</v>
      </c>
      <c r="G7126" s="1582" t="s">
        <v>6958</v>
      </c>
      <c r="H7126" s="2" t="s">
        <v>6349</v>
      </c>
      <c r="S7126" s="8"/>
    </row>
    <row r="7127" spans="1:19" x14ac:dyDescent="0.2">
      <c r="A7127">
        <v>7122</v>
      </c>
      <c r="B7127" s="8">
        <f>'BudgetSum 2-4'!G91</f>
        <v>153257</v>
      </c>
      <c r="C7127" s="605">
        <f t="shared" si="201"/>
        <v>-146135</v>
      </c>
      <c r="D7127" s="3" t="s">
        <v>774</v>
      </c>
      <c r="E7127" s="2" t="b">
        <f t="shared" ca="1" si="200"/>
        <v>1</v>
      </c>
      <c r="F7127" s="2" cm="1">
        <f t="array" aca="1" ref="F7127" ca="1">IF(G7127&lt;&gt;"",INDIRECT("'"&amp;G7127&amp;"'!"&amp;H7127),"")</f>
        <v>153257</v>
      </c>
      <c r="G7127" s="1582" t="s">
        <v>6958</v>
      </c>
      <c r="H7127" s="2" t="s">
        <v>6350</v>
      </c>
      <c r="S7127" s="8"/>
    </row>
    <row r="7128" spans="1:19" x14ac:dyDescent="0.2">
      <c r="A7128">
        <v>7123</v>
      </c>
      <c r="B7128" s="8">
        <f>'BudgetSum 2-4'!G93</f>
        <v>206000</v>
      </c>
      <c r="C7128" s="605">
        <f t="shared" si="201"/>
        <v>-198877</v>
      </c>
      <c r="D7128" s="3" t="s">
        <v>774</v>
      </c>
      <c r="E7128" s="2" t="b">
        <f t="shared" ca="1" si="200"/>
        <v>1</v>
      </c>
      <c r="F7128" s="2" cm="1">
        <f t="array" aca="1" ref="F7128" ca="1">IF(G7128&lt;&gt;"",INDIRECT("'"&amp;G7128&amp;"'!"&amp;H7128),"")</f>
        <v>206000</v>
      </c>
      <c r="G7128" s="1582" t="s">
        <v>6958</v>
      </c>
      <c r="H7128" s="2" t="s">
        <v>6351</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6958</v>
      </c>
      <c r="H7129" s="2" t="s">
        <v>6352</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6958</v>
      </c>
      <c r="H7130" s="2" t="s">
        <v>6353</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6958</v>
      </c>
      <c r="H7131" s="2" t="s">
        <v>6354</v>
      </c>
      <c r="S7131" s="8"/>
    </row>
    <row r="7132" spans="1:19" x14ac:dyDescent="0.2">
      <c r="A7132">
        <v>7127</v>
      </c>
      <c r="B7132" s="8">
        <f>'BudgetSum 2-4'!G97</f>
        <v>206000</v>
      </c>
      <c r="C7132" s="605">
        <f t="shared" si="201"/>
        <v>-198873</v>
      </c>
      <c r="D7132" s="3" t="s">
        <v>774</v>
      </c>
      <c r="E7132" s="2" t="b">
        <f t="shared" ca="1" si="200"/>
        <v>1</v>
      </c>
      <c r="F7132" s="2" cm="1">
        <f t="array" aca="1" ref="F7132" ca="1">IF(G7132&lt;&gt;"",INDIRECT("'"&amp;G7132&amp;"'!"&amp;H7132),"")</f>
        <v>206000</v>
      </c>
      <c r="G7132" s="1582" t="s">
        <v>6958</v>
      </c>
      <c r="H7132" s="2" t="s">
        <v>6355</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6958</v>
      </c>
      <c r="H7133" s="2" t="s">
        <v>5652</v>
      </c>
      <c r="S7133" s="8"/>
    </row>
    <row r="7134" spans="1:19" x14ac:dyDescent="0.2">
      <c r="A7134">
        <v>7129</v>
      </c>
      <c r="B7134" s="8">
        <f>'BudgetSum 2-4'!G99</f>
        <v>206000</v>
      </c>
      <c r="C7134" s="605">
        <f t="shared" si="201"/>
        <v>-198871</v>
      </c>
      <c r="D7134" s="3" t="s">
        <v>774</v>
      </c>
      <c r="E7134" s="2" t="b">
        <f t="shared" ca="1" si="200"/>
        <v>1</v>
      </c>
      <c r="F7134" s="2" cm="1">
        <f t="array" aca="1" ref="F7134" ca="1">IF(G7134&lt;&gt;"",INDIRECT("'"&amp;G7134&amp;"'!"&amp;H7134),"")</f>
        <v>206000</v>
      </c>
      <c r="G7134" s="1582" t="s">
        <v>6958</v>
      </c>
      <c r="H7134" s="2" t="s">
        <v>5768</v>
      </c>
      <c r="S7134" s="8"/>
    </row>
    <row r="7135" spans="1:19" x14ac:dyDescent="0.2">
      <c r="A7135">
        <v>7130</v>
      </c>
      <c r="B7135" s="8">
        <f>'BudgetSum 2-4'!G101</f>
        <v>64700</v>
      </c>
      <c r="C7135" s="605">
        <f t="shared" si="201"/>
        <v>-57570</v>
      </c>
      <c r="D7135" s="3" t="s">
        <v>774</v>
      </c>
      <c r="E7135" s="2" t="b">
        <f t="shared" ca="1" si="200"/>
        <v>1</v>
      </c>
      <c r="F7135" s="2" cm="1">
        <f t="array" aca="1" ref="F7135" ca="1">IF(G7135&lt;&gt;"",INDIRECT("'"&amp;G7135&amp;"'!"&amp;H7135),"")</f>
        <v>64700</v>
      </c>
      <c r="G7135" s="1582" t="s">
        <v>6958</v>
      </c>
      <c r="H7135" s="2" t="s">
        <v>5653</v>
      </c>
      <c r="S7135" s="8"/>
    </row>
    <row r="7136" spans="1:19" x14ac:dyDescent="0.2">
      <c r="A7136">
        <v>7131</v>
      </c>
      <c r="B7136" s="8">
        <f>'BudgetSum 2-4'!G102</f>
        <v>141300</v>
      </c>
      <c r="C7136" s="605">
        <f t="shared" si="201"/>
        <v>-134169</v>
      </c>
      <c r="D7136" s="3" t="s">
        <v>774</v>
      </c>
      <c r="E7136" s="2" t="b">
        <f t="shared" ca="1" si="200"/>
        <v>1</v>
      </c>
      <c r="F7136" s="2" cm="1">
        <f t="array" aca="1" ref="F7136" ca="1">IF(G7136&lt;&gt;"",INDIRECT("'"&amp;G7136&amp;"'!"&amp;H7136),"")</f>
        <v>141300</v>
      </c>
      <c r="G7136" s="1582" t="s">
        <v>6958</v>
      </c>
      <c r="H7136" s="2" t="s">
        <v>5778</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6958</v>
      </c>
      <c r="H7137" s="2" t="s">
        <v>6356</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6958</v>
      </c>
      <c r="H7138" s="2" t="s">
        <v>5786</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6958</v>
      </c>
      <c r="H7139" s="2" t="s">
        <v>6357</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6958</v>
      </c>
      <c r="H7140" s="2" t="s">
        <v>5789</v>
      </c>
      <c r="S7140" s="8"/>
    </row>
    <row r="7141" spans="1:19" x14ac:dyDescent="0.2">
      <c r="A7141">
        <v>7136</v>
      </c>
      <c r="B7141" s="8">
        <f>'BudgetSum 2-4'!G107</f>
        <v>206000</v>
      </c>
      <c r="C7141" s="605">
        <f t="shared" si="201"/>
        <v>-198864</v>
      </c>
      <c r="D7141" s="3" t="s">
        <v>774</v>
      </c>
      <c r="E7141" s="2" t="b">
        <f t="shared" ca="1" si="200"/>
        <v>1</v>
      </c>
      <c r="F7141" s="2" cm="1">
        <f t="array" aca="1" ref="F7141" ca="1">IF(G7141&lt;&gt;"",INDIRECT("'"&amp;G7141&amp;"'!"&amp;H7141),"")</f>
        <v>206000</v>
      </c>
      <c r="G7141" s="1582" t="s">
        <v>6958</v>
      </c>
      <c r="H7141" s="2" t="s">
        <v>6358</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6958</v>
      </c>
      <c r="H7142" s="2" t="s">
        <v>5793</v>
      </c>
      <c r="S7142" s="8"/>
    </row>
    <row r="7143" spans="1:19" x14ac:dyDescent="0.2">
      <c r="A7143">
        <v>7138</v>
      </c>
      <c r="B7143" s="8">
        <f>'BudgetSum 2-4'!G109</f>
        <v>206000</v>
      </c>
      <c r="C7143" s="605">
        <f t="shared" si="201"/>
        <v>-198862</v>
      </c>
      <c r="D7143" s="3" t="s">
        <v>774</v>
      </c>
      <c r="E7143" s="2" t="b">
        <f t="shared" ca="1" si="200"/>
        <v>1</v>
      </c>
      <c r="F7143" s="2" cm="1">
        <f t="array" aca="1" ref="F7143" ca="1">IF(G7143&lt;&gt;"",INDIRECT("'"&amp;G7143&amp;"'!"&amp;H7143),"")</f>
        <v>206000</v>
      </c>
      <c r="G7143" s="1582" t="s">
        <v>6958</v>
      </c>
      <c r="H7143" s="2" t="s">
        <v>5654</v>
      </c>
      <c r="S7143" s="8"/>
    </row>
    <row r="7144" spans="1:19" x14ac:dyDescent="0.2">
      <c r="A7144">
        <v>7139</v>
      </c>
      <c r="B7144" s="8">
        <f>'BudgetSum 2-4'!G110</f>
        <v>0</v>
      </c>
      <c r="C7144" s="605">
        <f t="shared" si="201"/>
        <v>7139</v>
      </c>
      <c r="D7144" s="3" t="s">
        <v>774</v>
      </c>
      <c r="E7144" s="2" t="b">
        <f t="shared" ca="1" si="200"/>
        <v>1</v>
      </c>
      <c r="F7144" s="2" cm="1">
        <f t="array" aca="1" ref="F7144" ca="1">IF(G7144&lt;&gt;"",INDIRECT("'"&amp;G7144&amp;"'!"&amp;H7144),"")</f>
        <v>0</v>
      </c>
      <c r="G7144" s="1582" t="s">
        <v>6958</v>
      </c>
      <c r="H7144" s="2" t="s">
        <v>5655</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6958</v>
      </c>
      <c r="H7145" s="2" t="s">
        <v>6359</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6958</v>
      </c>
      <c r="H7146" s="2" t="s">
        <v>4718</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6958</v>
      </c>
      <c r="H7147" s="2" t="s">
        <v>5658</v>
      </c>
      <c r="S7147" s="8"/>
    </row>
    <row r="7148" spans="1:19" x14ac:dyDescent="0.2">
      <c r="A7148">
        <v>7143</v>
      </c>
      <c r="B7148" s="8">
        <f>'BudgetSum 2-4'!G118</f>
        <v>153257</v>
      </c>
      <c r="C7148" s="605">
        <f t="shared" si="201"/>
        <v>-146114</v>
      </c>
      <c r="D7148" s="3" t="s">
        <v>774</v>
      </c>
      <c r="E7148" s="2" t="b">
        <f t="shared" ca="1" si="200"/>
        <v>1</v>
      </c>
      <c r="F7148" s="2" cm="1">
        <f t="array" aca="1" ref="F7148" ca="1">IF(G7148&lt;&gt;"",INDIRECT("'"&amp;G7148&amp;"'!"&amp;H7148),"")</f>
        <v>153257</v>
      </c>
      <c r="G7148" s="1582" t="s">
        <v>6958</v>
      </c>
      <c r="H7148" s="2" t="s">
        <v>6360</v>
      </c>
      <c r="S7148" s="8"/>
    </row>
    <row r="7149" spans="1:19" x14ac:dyDescent="0.2">
      <c r="A7149">
        <v>7144</v>
      </c>
      <c r="B7149" s="8">
        <f>'BudgetSum 2-4'!H91</f>
        <v>0</v>
      </c>
      <c r="C7149" s="605">
        <f t="shared" si="201"/>
        <v>7144</v>
      </c>
      <c r="D7149" s="3" t="s">
        <v>774</v>
      </c>
      <c r="E7149" s="2" t="b">
        <f t="shared" ca="1" si="200"/>
        <v>1</v>
      </c>
      <c r="F7149" s="2" cm="1">
        <f t="array" aca="1" ref="F7149" ca="1">IF(G7149&lt;&gt;"",INDIRECT("'"&amp;G7149&amp;"'!"&amp;H7149),"")</f>
        <v>0</v>
      </c>
      <c r="G7149" s="1582" t="s">
        <v>6958</v>
      </c>
      <c r="H7149" s="2" t="s">
        <v>5932</v>
      </c>
      <c r="S7149" s="8"/>
    </row>
    <row r="7150" spans="1:19" x14ac:dyDescent="0.2">
      <c r="A7150">
        <v>7145</v>
      </c>
      <c r="B7150" s="8">
        <f>'BudgetSum 2-4'!H93</f>
        <v>0</v>
      </c>
      <c r="C7150" s="605">
        <f t="shared" si="201"/>
        <v>7145</v>
      </c>
      <c r="D7150" s="3" t="s">
        <v>774</v>
      </c>
      <c r="E7150" s="2" t="b">
        <f t="shared" ca="1" si="200"/>
        <v>1</v>
      </c>
      <c r="F7150" s="2" cm="1">
        <f t="array" aca="1" ref="F7150" ca="1">IF(G7150&lt;&gt;"",INDIRECT("'"&amp;G7150&amp;"'!"&amp;H7150),"")</f>
        <v>0</v>
      </c>
      <c r="G7150" s="1582" t="s">
        <v>6958</v>
      </c>
      <c r="H7150" s="2" t="s">
        <v>5936</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6958</v>
      </c>
      <c r="H7151" s="2" t="s">
        <v>5938</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6958</v>
      </c>
      <c r="H7152" s="2" t="s">
        <v>5940</v>
      </c>
      <c r="S7152" s="8"/>
    </row>
    <row r="7153" spans="1:19" x14ac:dyDescent="0.2">
      <c r="A7153">
        <v>7148</v>
      </c>
      <c r="B7153" s="8">
        <f>'BudgetSum 2-4'!H97</f>
        <v>0</v>
      </c>
      <c r="C7153" s="605">
        <f t="shared" si="201"/>
        <v>7148</v>
      </c>
      <c r="D7153" s="3" t="s">
        <v>774</v>
      </c>
      <c r="E7153" s="2" t="b">
        <f t="shared" ca="1" si="200"/>
        <v>1</v>
      </c>
      <c r="F7153" s="2" cm="1">
        <f t="array" aca="1" ref="F7153" ca="1">IF(G7153&lt;&gt;"",INDIRECT("'"&amp;G7153&amp;"'!"&amp;H7153),"")</f>
        <v>0</v>
      </c>
      <c r="G7153" s="1582" t="s">
        <v>6958</v>
      </c>
      <c r="H7153" s="2" t="s">
        <v>5942</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6958</v>
      </c>
      <c r="H7154" s="2" t="s">
        <v>5694</v>
      </c>
      <c r="S7154" s="8"/>
    </row>
    <row r="7155" spans="1:19" x14ac:dyDescent="0.2">
      <c r="A7155">
        <v>7150</v>
      </c>
      <c r="B7155" s="8">
        <f>'BudgetSum 2-4'!H99</f>
        <v>0</v>
      </c>
      <c r="C7155" s="605">
        <f t="shared" si="201"/>
        <v>7150</v>
      </c>
      <c r="D7155" s="3" t="s">
        <v>774</v>
      </c>
      <c r="E7155" s="2" t="b">
        <f t="shared" ca="1" si="200"/>
        <v>1</v>
      </c>
      <c r="F7155" s="2" cm="1">
        <f t="array" aca="1" ref="F7155" ca="1">IF(G7155&lt;&gt;"",INDIRECT("'"&amp;G7155&amp;"'!"&amp;H7155),"")</f>
        <v>0</v>
      </c>
      <c r="G7155" s="1582" t="s">
        <v>6958</v>
      </c>
      <c r="H7155" s="2" t="s">
        <v>5769</v>
      </c>
      <c r="S7155" s="8"/>
    </row>
    <row r="7156" spans="1:19" x14ac:dyDescent="0.2">
      <c r="A7156">
        <v>7151</v>
      </c>
      <c r="B7156" s="8">
        <f>'BudgetSum 2-4'!H102</f>
        <v>0</v>
      </c>
      <c r="C7156" s="605">
        <f t="shared" si="201"/>
        <v>7151</v>
      </c>
      <c r="D7156" s="3" t="s">
        <v>774</v>
      </c>
      <c r="E7156" s="2" t="b">
        <f t="shared" ca="1" si="200"/>
        <v>1</v>
      </c>
      <c r="F7156" s="2" cm="1">
        <f t="array" aca="1" ref="F7156" ca="1">IF(G7156&lt;&gt;"",INDIRECT("'"&amp;G7156&amp;"'!"&amp;H7156),"")</f>
        <v>0</v>
      </c>
      <c r="G7156" s="1582" t="s">
        <v>6958</v>
      </c>
      <c r="H7156" s="2" t="s">
        <v>5779</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6958</v>
      </c>
      <c r="H7157" s="2" t="s">
        <v>4755</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6958</v>
      </c>
      <c r="H7158" s="2" t="s">
        <v>5696</v>
      </c>
      <c r="S7158" s="8"/>
    </row>
    <row r="7159" spans="1:19" x14ac:dyDescent="0.2">
      <c r="A7159">
        <v>7154</v>
      </c>
      <c r="B7159" s="8">
        <f>'BudgetSum 2-4'!H107</f>
        <v>0</v>
      </c>
      <c r="C7159" s="605">
        <f t="shared" si="201"/>
        <v>7154</v>
      </c>
      <c r="D7159" s="3" t="s">
        <v>774</v>
      </c>
      <c r="E7159" s="2" t="b">
        <f t="shared" ca="1" si="200"/>
        <v>1</v>
      </c>
      <c r="F7159" s="2" cm="1">
        <f t="array" aca="1" ref="F7159" ca="1">IF(G7159&lt;&gt;"",INDIRECT("'"&amp;G7159&amp;"'!"&amp;H7159),"")</f>
        <v>0</v>
      </c>
      <c r="G7159" s="1582" t="s">
        <v>6958</v>
      </c>
      <c r="H7159" s="2" t="s">
        <v>4756</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6958</v>
      </c>
      <c r="H7160" s="2" t="s">
        <v>4757</v>
      </c>
      <c r="S7160" s="8"/>
    </row>
    <row r="7161" spans="1:19" x14ac:dyDescent="0.2">
      <c r="A7161">
        <v>7156</v>
      </c>
      <c r="B7161" s="8">
        <f>'BudgetSum 2-4'!H109</f>
        <v>0</v>
      </c>
      <c r="C7161" s="605">
        <f t="shared" si="201"/>
        <v>7156</v>
      </c>
      <c r="D7161" s="3" t="s">
        <v>774</v>
      </c>
      <c r="E7161" s="2" t="b">
        <f t="shared" ca="1" si="200"/>
        <v>1</v>
      </c>
      <c r="F7161" s="2" cm="1">
        <f t="array" aca="1" ref="F7161" ca="1">IF(G7161&lt;&gt;"",INDIRECT("'"&amp;G7161&amp;"'!"&amp;H7161),"")</f>
        <v>0</v>
      </c>
      <c r="G7161" s="1582" t="s">
        <v>6958</v>
      </c>
      <c r="H7161" s="2" t="s">
        <v>5113</v>
      </c>
      <c r="S7161" s="8"/>
    </row>
    <row r="7162" spans="1:19" x14ac:dyDescent="0.2">
      <c r="A7162">
        <v>7157</v>
      </c>
      <c r="B7162" s="8">
        <f>'BudgetSum 2-4'!H110</f>
        <v>0</v>
      </c>
      <c r="C7162" s="605">
        <f t="shared" si="201"/>
        <v>7157</v>
      </c>
      <c r="D7162" s="3" t="s">
        <v>774</v>
      </c>
      <c r="E7162" s="2" t="b">
        <f t="shared" ca="1" si="200"/>
        <v>1</v>
      </c>
      <c r="F7162" s="2" cm="1">
        <f t="array" aca="1" ref="F7162" ca="1">IF(G7162&lt;&gt;"",INDIRECT("'"&amp;G7162&amp;"'!"&amp;H7162),"")</f>
        <v>0</v>
      </c>
      <c r="G7162" s="1582" t="s">
        <v>6958</v>
      </c>
      <c r="H7162" s="2" t="s">
        <v>5114</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6958</v>
      </c>
      <c r="H7163" s="2" t="s">
        <v>6066</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6958</v>
      </c>
      <c r="H7164" s="2" t="s">
        <v>4760</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6958</v>
      </c>
      <c r="H7165" s="2" t="s">
        <v>6361</v>
      </c>
      <c r="S7165" s="8"/>
    </row>
    <row r="7166" spans="1:19" x14ac:dyDescent="0.2">
      <c r="A7166">
        <v>7161</v>
      </c>
      <c r="B7166" s="8">
        <f>'BudgetSum 2-4'!H118</f>
        <v>0</v>
      </c>
      <c r="C7166" s="605">
        <f t="shared" si="201"/>
        <v>7161</v>
      </c>
      <c r="D7166" s="3" t="s">
        <v>774</v>
      </c>
      <c r="E7166" s="2" t="b">
        <f t="shared" ca="1" si="200"/>
        <v>1</v>
      </c>
      <c r="F7166" s="2" cm="1">
        <f t="array" aca="1" ref="F7166" ca="1">IF(G7166&lt;&gt;"",INDIRECT("'"&amp;G7166&amp;"'!"&amp;H7166),"")</f>
        <v>0</v>
      </c>
      <c r="G7166" s="1582" t="s">
        <v>6958</v>
      </c>
      <c r="H7166" s="2" t="s">
        <v>6362</v>
      </c>
      <c r="S7166" s="8"/>
    </row>
    <row r="7167" spans="1:19" x14ac:dyDescent="0.2">
      <c r="A7167">
        <v>7162</v>
      </c>
      <c r="B7167" s="8">
        <f>'BudgetSum 2-4'!I91</f>
        <v>456568</v>
      </c>
      <c r="C7167" s="605">
        <f t="shared" si="201"/>
        <v>-449406</v>
      </c>
      <c r="D7167" s="3" t="s">
        <v>774</v>
      </c>
      <c r="E7167" s="2" t="b">
        <f t="shared" ca="1" si="200"/>
        <v>1</v>
      </c>
      <c r="F7167" s="2" cm="1">
        <f t="array" aca="1" ref="F7167" ca="1">IF(G7167&lt;&gt;"",INDIRECT("'"&amp;G7167&amp;"'!"&amp;H7167),"")</f>
        <v>456568</v>
      </c>
      <c r="G7167" s="1582" t="s">
        <v>6958</v>
      </c>
      <c r="H7167" s="2" t="s">
        <v>6363</v>
      </c>
      <c r="S7167" s="8"/>
    </row>
    <row r="7168" spans="1:19" x14ac:dyDescent="0.2">
      <c r="A7168">
        <v>7163</v>
      </c>
      <c r="B7168" s="8">
        <f>'BudgetSum 2-4'!I93</f>
        <v>41000</v>
      </c>
      <c r="C7168" s="605">
        <f t="shared" si="201"/>
        <v>-33837</v>
      </c>
      <c r="D7168" s="3" t="s">
        <v>774</v>
      </c>
      <c r="E7168" s="2" t="b">
        <f t="shared" ca="1" si="200"/>
        <v>1</v>
      </c>
      <c r="F7168" s="2" cm="1">
        <f t="array" aca="1" ref="F7168" ca="1">IF(G7168&lt;&gt;"",INDIRECT("'"&amp;G7168&amp;"'!"&amp;H7168),"")</f>
        <v>41000</v>
      </c>
      <c r="G7168" s="1582" t="s">
        <v>6958</v>
      </c>
      <c r="H7168" s="2" t="s">
        <v>6364</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6958</v>
      </c>
      <c r="H7169" s="2" t="s">
        <v>6365</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6958</v>
      </c>
      <c r="H7170" s="2" t="s">
        <v>6366</v>
      </c>
      <c r="S7170" s="8"/>
    </row>
    <row r="7171" spans="1:19" x14ac:dyDescent="0.2">
      <c r="A7171">
        <v>7166</v>
      </c>
      <c r="B7171" s="8">
        <f>'BudgetSum 2-4'!I97</f>
        <v>41000</v>
      </c>
      <c r="C7171" s="605">
        <f t="shared" si="201"/>
        <v>-33834</v>
      </c>
      <c r="D7171" s="3" t="s">
        <v>774</v>
      </c>
      <c r="E7171" s="2" t="b">
        <f t="shared" ca="1" si="202"/>
        <v>1</v>
      </c>
      <c r="F7171" s="2" cm="1">
        <f t="array" aca="1" ref="F7171" ca="1">IF(G7171&lt;&gt;"",INDIRECT("'"&amp;G7171&amp;"'!"&amp;H7171),"")</f>
        <v>41000</v>
      </c>
      <c r="G7171" s="1582" t="s">
        <v>6958</v>
      </c>
      <c r="H7171" s="2" t="s">
        <v>6367</v>
      </c>
      <c r="S7171" s="8"/>
    </row>
    <row r="7172" spans="1:19" x14ac:dyDescent="0.2">
      <c r="A7172">
        <v>7167</v>
      </c>
      <c r="B7172" s="8">
        <f>'BudgetSum 2-4'!I99</f>
        <v>41000</v>
      </c>
      <c r="C7172" s="605">
        <f t="shared" ref="C7172:C7235" si="203">A7172-B7172</f>
        <v>-33833</v>
      </c>
      <c r="D7172" s="3" t="s">
        <v>774</v>
      </c>
      <c r="E7172" s="2" t="b">
        <f t="shared" ca="1" si="202"/>
        <v>1</v>
      </c>
      <c r="F7172" s="2" cm="1">
        <f t="array" aca="1" ref="F7172" ca="1">IF(G7172&lt;&gt;"",INDIRECT("'"&amp;G7172&amp;"'!"&amp;H7172),"")</f>
        <v>41000</v>
      </c>
      <c r="G7172" s="1582" t="s">
        <v>6958</v>
      </c>
      <c r="H7172" s="2" t="s">
        <v>5770</v>
      </c>
      <c r="S7172" s="8"/>
    </row>
    <row r="7173" spans="1:19" x14ac:dyDescent="0.2">
      <c r="A7173">
        <v>7168</v>
      </c>
      <c r="B7173" s="8">
        <f>'BudgetSum 2-4'!I110</f>
        <v>41000</v>
      </c>
      <c r="C7173" s="605">
        <f t="shared" si="203"/>
        <v>-33832</v>
      </c>
      <c r="D7173" s="3" t="s">
        <v>774</v>
      </c>
      <c r="E7173" s="2" t="b">
        <f t="shared" ca="1" si="202"/>
        <v>1</v>
      </c>
      <c r="F7173" s="2" cm="1">
        <f t="array" aca="1" ref="F7173" ca="1">IF(G7173&lt;&gt;"",INDIRECT("'"&amp;G7173&amp;"'!"&amp;H7173),"")</f>
        <v>41000</v>
      </c>
      <c r="G7173" s="1582" t="s">
        <v>6958</v>
      </c>
      <c r="H7173" s="2" t="s">
        <v>5712</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6958</v>
      </c>
      <c r="H7174" s="2" t="s">
        <v>6368</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6958</v>
      </c>
      <c r="H7175" s="2" t="s">
        <v>5947</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6958</v>
      </c>
      <c r="H7176" s="2" t="s">
        <v>6369</v>
      </c>
      <c r="S7176" s="8"/>
    </row>
    <row r="7177" spans="1:19" x14ac:dyDescent="0.2">
      <c r="A7177">
        <v>7172</v>
      </c>
      <c r="B7177" s="8">
        <f>'BudgetSum 2-4'!I118</f>
        <v>497568</v>
      </c>
      <c r="C7177" s="605">
        <f t="shared" si="203"/>
        <v>-490396</v>
      </c>
      <c r="D7177" s="3" t="s">
        <v>774</v>
      </c>
      <c r="E7177" s="2" t="b">
        <f t="shared" ca="1" si="202"/>
        <v>1</v>
      </c>
      <c r="F7177" s="2" cm="1">
        <f t="array" aca="1" ref="F7177" ca="1">IF(G7177&lt;&gt;"",INDIRECT("'"&amp;G7177&amp;"'!"&amp;H7177),"")</f>
        <v>497568</v>
      </c>
      <c r="G7177" s="1582" t="s">
        <v>6958</v>
      </c>
      <c r="H7177" s="2" t="s">
        <v>6370</v>
      </c>
      <c r="S7177" s="8"/>
    </row>
    <row r="7178" spans="1:19" x14ac:dyDescent="0.2">
      <c r="A7178">
        <v>7173</v>
      </c>
      <c r="B7178" s="8">
        <f>'BudgetSum 2-4'!J91</f>
        <v>286639</v>
      </c>
      <c r="C7178" s="605">
        <f t="shared" si="203"/>
        <v>-279466</v>
      </c>
      <c r="D7178" s="3" t="s">
        <v>774</v>
      </c>
      <c r="E7178" s="2" t="b">
        <f t="shared" ca="1" si="202"/>
        <v>1</v>
      </c>
      <c r="F7178" s="2" cm="1">
        <f t="array" aca="1" ref="F7178" ca="1">IF(G7178&lt;&gt;"",INDIRECT("'"&amp;G7178&amp;"'!"&amp;H7178),"")</f>
        <v>286639</v>
      </c>
      <c r="G7178" s="1582" t="s">
        <v>6958</v>
      </c>
      <c r="H7178" s="2" t="s">
        <v>6371</v>
      </c>
      <c r="S7178" s="8"/>
    </row>
    <row r="7179" spans="1:19" x14ac:dyDescent="0.2">
      <c r="A7179">
        <v>7174</v>
      </c>
      <c r="B7179" s="8">
        <f>'BudgetSum 2-4'!J93</f>
        <v>149000</v>
      </c>
      <c r="C7179" s="605">
        <f t="shared" si="203"/>
        <v>-141826</v>
      </c>
      <c r="D7179" s="3" t="s">
        <v>774</v>
      </c>
      <c r="E7179" s="2" t="b">
        <f t="shared" ca="1" si="202"/>
        <v>1</v>
      </c>
      <c r="F7179" s="2" cm="1">
        <f t="array" aca="1" ref="F7179" ca="1">IF(G7179&lt;&gt;"",INDIRECT("'"&amp;G7179&amp;"'!"&amp;H7179),"")</f>
        <v>149000</v>
      </c>
      <c r="G7179" s="1582" t="s">
        <v>6958</v>
      </c>
      <c r="H7179" s="2" t="s">
        <v>6372</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6958</v>
      </c>
      <c r="H7180" s="2" t="s">
        <v>6373</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6958</v>
      </c>
      <c r="H7181" s="2" t="s">
        <v>6374</v>
      </c>
      <c r="S7181" s="8"/>
    </row>
    <row r="7182" spans="1:19" x14ac:dyDescent="0.2">
      <c r="A7182">
        <v>7177</v>
      </c>
      <c r="B7182" s="8">
        <f>'BudgetSum 2-4'!J97</f>
        <v>149000</v>
      </c>
      <c r="C7182" s="605">
        <f t="shared" si="203"/>
        <v>-141823</v>
      </c>
      <c r="D7182" s="3" t="s">
        <v>774</v>
      </c>
      <c r="E7182" s="2" t="b">
        <f t="shared" ca="1" si="202"/>
        <v>1</v>
      </c>
      <c r="F7182" s="2" cm="1">
        <f t="array" aca="1" ref="F7182" ca="1">IF(G7182&lt;&gt;"",INDIRECT("'"&amp;G7182&amp;"'!"&amp;H7182),"")</f>
        <v>149000</v>
      </c>
      <c r="G7182" s="1582" t="s">
        <v>6958</v>
      </c>
      <c r="H7182" s="2" t="s">
        <v>6375</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6958</v>
      </c>
      <c r="H7183" s="2" t="s">
        <v>5795</v>
      </c>
      <c r="S7183" s="8"/>
    </row>
    <row r="7184" spans="1:19" x14ac:dyDescent="0.2">
      <c r="A7184">
        <v>7179</v>
      </c>
      <c r="B7184" s="8">
        <f>'BudgetSum 2-4'!J99</f>
        <v>149000</v>
      </c>
      <c r="C7184" s="605">
        <f t="shared" si="203"/>
        <v>-141821</v>
      </c>
      <c r="D7184" s="3" t="s">
        <v>774</v>
      </c>
      <c r="E7184" s="2" t="b">
        <f t="shared" ca="1" si="202"/>
        <v>1</v>
      </c>
      <c r="F7184" s="2" cm="1">
        <f t="array" aca="1" ref="F7184" ca="1">IF(G7184&lt;&gt;"",INDIRECT("'"&amp;G7184&amp;"'!"&amp;H7184),"")</f>
        <v>149000</v>
      </c>
      <c r="G7184" s="1582" t="s">
        <v>6958</v>
      </c>
      <c r="H7184" s="2" t="s">
        <v>5771</v>
      </c>
      <c r="S7184" s="8"/>
    </row>
    <row r="7185" spans="1:19" x14ac:dyDescent="0.2">
      <c r="A7185">
        <v>7180</v>
      </c>
      <c r="B7185" s="8">
        <f>'BudgetSum 2-4'!J101</f>
        <v>0</v>
      </c>
      <c r="C7185" s="605">
        <f t="shared" si="203"/>
        <v>7180</v>
      </c>
      <c r="D7185" s="3" t="s">
        <v>774</v>
      </c>
      <c r="E7185" s="2" t="b">
        <f t="shared" ca="1" si="202"/>
        <v>1</v>
      </c>
      <c r="F7185" s="2" cm="1">
        <f t="array" aca="1" ref="F7185" ca="1">IF(G7185&lt;&gt;"",INDIRECT("'"&amp;G7185&amp;"'!"&amp;H7185),"")</f>
        <v>0</v>
      </c>
      <c r="G7185" s="1582" t="s">
        <v>6958</v>
      </c>
      <c r="H7185" s="2" t="s">
        <v>5773</v>
      </c>
      <c r="S7185" s="8"/>
    </row>
    <row r="7186" spans="1:19" x14ac:dyDescent="0.2">
      <c r="A7186">
        <v>7181</v>
      </c>
      <c r="B7186" s="8">
        <f>'BudgetSum 2-4'!J102</f>
        <v>149000</v>
      </c>
      <c r="C7186" s="605">
        <f t="shared" si="203"/>
        <v>-141819</v>
      </c>
      <c r="D7186" s="3" t="s">
        <v>774</v>
      </c>
      <c r="E7186" s="2" t="b">
        <f t="shared" ca="1" si="202"/>
        <v>1</v>
      </c>
      <c r="F7186" s="2" cm="1">
        <f t="array" aca="1" ref="F7186" ca="1">IF(G7186&lt;&gt;"",INDIRECT("'"&amp;G7186&amp;"'!"&amp;H7186),"")</f>
        <v>149000</v>
      </c>
      <c r="G7186" s="1582" t="s">
        <v>6958</v>
      </c>
      <c r="H7186" s="2" t="s">
        <v>5781</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6958</v>
      </c>
      <c r="H7187" s="2" t="s">
        <v>6376</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6958</v>
      </c>
      <c r="H7188" s="2" t="s">
        <v>5788</v>
      </c>
      <c r="S7188" s="8"/>
    </row>
    <row r="7189" spans="1:19" x14ac:dyDescent="0.2">
      <c r="A7189">
        <v>7184</v>
      </c>
      <c r="B7189" s="8">
        <f>'BudgetSum 2-4'!J107</f>
        <v>149000</v>
      </c>
      <c r="C7189" s="605">
        <f t="shared" si="203"/>
        <v>-141816</v>
      </c>
      <c r="D7189" s="3" t="s">
        <v>774</v>
      </c>
      <c r="E7189" s="2" t="b">
        <f t="shared" ca="1" si="202"/>
        <v>1</v>
      </c>
      <c r="F7189" s="2" cm="1">
        <f t="array" aca="1" ref="F7189" ca="1">IF(G7189&lt;&gt;"",INDIRECT("'"&amp;G7189&amp;"'!"&amp;H7189),"")</f>
        <v>149000</v>
      </c>
      <c r="G7189" s="1582" t="s">
        <v>6958</v>
      </c>
      <c r="H7189" s="2" t="s">
        <v>6377</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6958</v>
      </c>
      <c r="H7190" s="2" t="s">
        <v>5794</v>
      </c>
      <c r="S7190" s="8"/>
    </row>
    <row r="7191" spans="1:19" x14ac:dyDescent="0.2">
      <c r="A7191">
        <v>7186</v>
      </c>
      <c r="B7191" s="8">
        <f>'BudgetSum 2-4'!J109</f>
        <v>149000</v>
      </c>
      <c r="C7191" s="605">
        <f t="shared" si="203"/>
        <v>-141814</v>
      </c>
      <c r="D7191" s="3" t="s">
        <v>774</v>
      </c>
      <c r="E7191" s="2" t="b">
        <f t="shared" ca="1" si="202"/>
        <v>1</v>
      </c>
      <c r="F7191" s="2" cm="1">
        <f t="array" aca="1" ref="F7191" ca="1">IF(G7191&lt;&gt;"",INDIRECT("'"&amp;G7191&amp;"'!"&amp;H7191),"")</f>
        <v>149000</v>
      </c>
      <c r="G7191" s="1582" t="s">
        <v>6958</v>
      </c>
      <c r="H7191" s="2" t="s">
        <v>5796</v>
      </c>
      <c r="S7191" s="8"/>
    </row>
    <row r="7192" spans="1:19" x14ac:dyDescent="0.2">
      <c r="A7192">
        <v>7187</v>
      </c>
      <c r="B7192" s="8">
        <f>'BudgetSum 2-4'!J110</f>
        <v>0</v>
      </c>
      <c r="C7192" s="605">
        <f t="shared" si="203"/>
        <v>7187</v>
      </c>
      <c r="D7192" s="3" t="s">
        <v>774</v>
      </c>
      <c r="E7192" s="2" t="b">
        <f t="shared" ca="1" si="202"/>
        <v>1</v>
      </c>
      <c r="F7192" s="2" cm="1">
        <f t="array" aca="1" ref="F7192" ca="1">IF(G7192&lt;&gt;"",INDIRECT("'"&amp;G7192&amp;"'!"&amp;H7192),"")</f>
        <v>0</v>
      </c>
      <c r="G7192" s="1582" t="s">
        <v>6958</v>
      </c>
      <c r="H7192" s="2" t="s">
        <v>5991</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6958</v>
      </c>
      <c r="H7193" s="2" t="s">
        <v>6378</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6958</v>
      </c>
      <c r="H7194" s="2" t="s">
        <v>5948</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6958</v>
      </c>
      <c r="H7195" s="2" t="s">
        <v>6379</v>
      </c>
      <c r="S7195" s="8"/>
    </row>
    <row r="7196" spans="1:19" x14ac:dyDescent="0.2">
      <c r="A7196">
        <v>7191</v>
      </c>
      <c r="B7196" s="8">
        <f>'BudgetSum 2-4'!J118</f>
        <v>286639</v>
      </c>
      <c r="C7196" s="605">
        <f t="shared" si="203"/>
        <v>-279448</v>
      </c>
      <c r="D7196" s="3" t="s">
        <v>774</v>
      </c>
      <c r="E7196" s="2" t="b">
        <f t="shared" ca="1" si="202"/>
        <v>1</v>
      </c>
      <c r="F7196" s="2" cm="1">
        <f t="array" aca="1" ref="F7196" ca="1">IF(G7196&lt;&gt;"",INDIRECT("'"&amp;G7196&amp;"'!"&amp;H7196),"")</f>
        <v>286639</v>
      </c>
      <c r="G7196" s="1582" t="s">
        <v>6958</v>
      </c>
      <c r="H7196" s="2" t="s">
        <v>6380</v>
      </c>
      <c r="S7196" s="8"/>
    </row>
    <row r="7197" spans="1:19" x14ac:dyDescent="0.2">
      <c r="A7197">
        <v>7192</v>
      </c>
      <c r="B7197" s="8">
        <f>'BudgetSum 2-4'!K91</f>
        <v>22687</v>
      </c>
      <c r="C7197" s="605">
        <f t="shared" si="203"/>
        <v>-15495</v>
      </c>
      <c r="D7197" s="3" t="s">
        <v>774</v>
      </c>
      <c r="E7197" s="2" t="b">
        <f t="shared" ca="1" si="202"/>
        <v>1</v>
      </c>
      <c r="F7197" s="2" cm="1">
        <f t="array" aca="1" ref="F7197" ca="1">IF(G7197&lt;&gt;"",INDIRECT("'"&amp;G7197&amp;"'!"&amp;H7197),"")</f>
        <v>22687</v>
      </c>
      <c r="G7197" s="1582" t="s">
        <v>6958</v>
      </c>
      <c r="H7197" s="2" t="s">
        <v>5933</v>
      </c>
      <c r="S7197" s="8"/>
    </row>
    <row r="7198" spans="1:19" x14ac:dyDescent="0.2">
      <c r="A7198">
        <v>7193</v>
      </c>
      <c r="B7198" s="8">
        <f>'BudgetSum 2-4'!K93</f>
        <v>0</v>
      </c>
      <c r="C7198" s="605">
        <f t="shared" si="203"/>
        <v>7193</v>
      </c>
      <c r="D7198" s="3" t="s">
        <v>774</v>
      </c>
      <c r="E7198" s="2" t="b">
        <f t="shared" ca="1" si="202"/>
        <v>1</v>
      </c>
      <c r="F7198" s="2" cm="1">
        <f t="array" aca="1" ref="F7198" ca="1">IF(G7198&lt;&gt;"",INDIRECT("'"&amp;G7198&amp;"'!"&amp;H7198),"")</f>
        <v>0</v>
      </c>
      <c r="G7198" s="1582" t="s">
        <v>6958</v>
      </c>
      <c r="H7198" s="2" t="s">
        <v>5937</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6958</v>
      </c>
      <c r="H7199" s="2" t="s">
        <v>5939</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6958</v>
      </c>
      <c r="H7200" s="2" t="s">
        <v>5941</v>
      </c>
      <c r="S7200" s="8"/>
    </row>
    <row r="7201" spans="1:19" x14ac:dyDescent="0.2">
      <c r="A7201">
        <v>7196</v>
      </c>
      <c r="B7201" s="8">
        <f>'BudgetSum 2-4'!K97</f>
        <v>0</v>
      </c>
      <c r="C7201" s="605">
        <f t="shared" si="203"/>
        <v>7196</v>
      </c>
      <c r="D7201" s="3" t="s">
        <v>774</v>
      </c>
      <c r="E7201" s="2" t="b">
        <f t="shared" ca="1" si="202"/>
        <v>1</v>
      </c>
      <c r="F7201" s="2" cm="1">
        <f t="array" aca="1" ref="F7201" ca="1">IF(G7201&lt;&gt;"",INDIRECT("'"&amp;G7201&amp;"'!"&amp;H7201),"")</f>
        <v>0</v>
      </c>
      <c r="G7201" s="1582" t="s">
        <v>6958</v>
      </c>
      <c r="H7201" s="2" t="s">
        <v>5943</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6958</v>
      </c>
      <c r="H7202" s="2" t="s">
        <v>5714</v>
      </c>
      <c r="S7202" s="8"/>
    </row>
    <row r="7203" spans="1:19" x14ac:dyDescent="0.2">
      <c r="A7203">
        <v>7198</v>
      </c>
      <c r="B7203" s="8">
        <f>'BudgetSum 2-4'!K99</f>
        <v>0</v>
      </c>
      <c r="C7203" s="605">
        <f t="shared" si="203"/>
        <v>7198</v>
      </c>
      <c r="D7203" s="3" t="s">
        <v>774</v>
      </c>
      <c r="E7203" s="2" t="b">
        <f t="shared" ca="1" si="202"/>
        <v>1</v>
      </c>
      <c r="F7203" s="2" cm="1">
        <f t="array" aca="1" ref="F7203" ca="1">IF(G7203&lt;&gt;"",INDIRECT("'"&amp;G7203&amp;"'!"&amp;H7203),"")</f>
        <v>0</v>
      </c>
      <c r="G7203" s="1582" t="s">
        <v>6958</v>
      </c>
      <c r="H7203" s="2" t="s">
        <v>5772</v>
      </c>
      <c r="S7203" s="8"/>
    </row>
    <row r="7204" spans="1:19" x14ac:dyDescent="0.2">
      <c r="A7204">
        <v>7199</v>
      </c>
      <c r="B7204" s="8">
        <f>'BudgetSum 2-4'!K102</f>
        <v>0</v>
      </c>
      <c r="C7204" s="605">
        <f t="shared" si="203"/>
        <v>7199</v>
      </c>
      <c r="D7204" s="3" t="s">
        <v>774</v>
      </c>
      <c r="E7204" s="2" t="b">
        <f t="shared" ca="1" si="202"/>
        <v>1</v>
      </c>
      <c r="F7204" s="2" cm="1">
        <f t="array" aca="1" ref="F7204" ca="1">IF(G7204&lt;&gt;"",INDIRECT("'"&amp;G7204&amp;"'!"&amp;H7204),"")</f>
        <v>0</v>
      </c>
      <c r="G7204" s="1582" t="s">
        <v>6958</v>
      </c>
      <c r="H7204" s="2" t="s">
        <v>5067</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6958</v>
      </c>
      <c r="H7205" s="2" t="s">
        <v>4798</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6958</v>
      </c>
      <c r="H7206" s="2" t="s">
        <v>6381</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6958</v>
      </c>
      <c r="H7207" s="2" t="s">
        <v>6382</v>
      </c>
      <c r="S7207" s="8"/>
    </row>
    <row r="7208" spans="1:19" x14ac:dyDescent="0.2">
      <c r="A7208">
        <v>7203</v>
      </c>
      <c r="B7208" s="8">
        <f>'BudgetSum 2-4'!K107</f>
        <v>0</v>
      </c>
      <c r="C7208" s="605">
        <f t="shared" si="203"/>
        <v>7203</v>
      </c>
      <c r="D7208" s="3" t="s">
        <v>774</v>
      </c>
      <c r="E7208" s="2" t="b">
        <f t="shared" ca="1" si="202"/>
        <v>1</v>
      </c>
      <c r="F7208" s="2" cm="1">
        <f t="array" aca="1" ref="F7208" ca="1">IF(G7208&lt;&gt;"",INDIRECT("'"&amp;G7208&amp;"'!"&amp;H7208),"")</f>
        <v>0</v>
      </c>
      <c r="G7208" s="1582" t="s">
        <v>6958</v>
      </c>
      <c r="H7208" s="2" t="s">
        <v>4799</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6958</v>
      </c>
      <c r="H7209" s="2" t="s">
        <v>4800</v>
      </c>
      <c r="S7209" s="8"/>
    </row>
    <row r="7210" spans="1:19" x14ac:dyDescent="0.2">
      <c r="A7210">
        <v>7205</v>
      </c>
      <c r="B7210" s="8">
        <f>'BudgetSum 2-4'!K109</f>
        <v>0</v>
      </c>
      <c r="C7210" s="605">
        <f t="shared" si="203"/>
        <v>7205</v>
      </c>
      <c r="D7210" s="3" t="s">
        <v>774</v>
      </c>
      <c r="E7210" s="2" t="b">
        <f t="shared" ca="1" si="202"/>
        <v>1</v>
      </c>
      <c r="F7210" s="2" cm="1">
        <f t="array" aca="1" ref="F7210" ca="1">IF(G7210&lt;&gt;"",INDIRECT("'"&amp;G7210&amp;"'!"&amp;H7210),"")</f>
        <v>0</v>
      </c>
      <c r="G7210" s="1582" t="s">
        <v>6958</v>
      </c>
      <c r="H7210" s="2" t="s">
        <v>5115</v>
      </c>
      <c r="S7210" s="8"/>
    </row>
    <row r="7211" spans="1:19" x14ac:dyDescent="0.2">
      <c r="A7211">
        <v>7206</v>
      </c>
      <c r="B7211" s="8">
        <f>'BudgetSum 2-4'!K110</f>
        <v>0</v>
      </c>
      <c r="C7211" s="605">
        <f t="shared" si="203"/>
        <v>7206</v>
      </c>
      <c r="D7211" s="3" t="s">
        <v>774</v>
      </c>
      <c r="E7211" s="2" t="b">
        <f t="shared" ca="1" si="202"/>
        <v>1</v>
      </c>
      <c r="F7211" s="2" cm="1">
        <f t="array" aca="1" ref="F7211" ca="1">IF(G7211&lt;&gt;"",INDIRECT("'"&amp;G7211&amp;"'!"&amp;H7211),"")</f>
        <v>0</v>
      </c>
      <c r="G7211" s="1582" t="s">
        <v>6958</v>
      </c>
      <c r="H7211" s="2" t="s">
        <v>5116</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6958</v>
      </c>
      <c r="H7212" s="2" t="s">
        <v>6067</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6958</v>
      </c>
      <c r="H7213" s="2" t="s">
        <v>4803</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6958</v>
      </c>
      <c r="H7214" s="2" t="s">
        <v>6383</v>
      </c>
      <c r="S7214" s="8"/>
    </row>
    <row r="7215" spans="1:19" x14ac:dyDescent="0.2">
      <c r="A7215">
        <v>7210</v>
      </c>
      <c r="B7215" s="8">
        <f>'BudgetSum 2-4'!K118</f>
        <v>22687</v>
      </c>
      <c r="C7215" s="605">
        <f t="shared" si="203"/>
        <v>-15477</v>
      </c>
      <c r="D7215" s="3" t="s">
        <v>774</v>
      </c>
      <c r="E7215" s="2" t="b">
        <f t="shared" ca="1" si="202"/>
        <v>1</v>
      </c>
      <c r="F7215" s="2" cm="1">
        <f t="array" aca="1" ref="F7215" ca="1">IF(G7215&lt;&gt;"",INDIRECT("'"&amp;G7215&amp;"'!"&amp;H7215),"")</f>
        <v>22687</v>
      </c>
      <c r="G7215" s="1582" t="s">
        <v>6958</v>
      </c>
      <c r="H7215" s="2" t="s">
        <v>4804</v>
      </c>
      <c r="S7215" s="8"/>
    </row>
    <row r="7216" spans="1:19" x14ac:dyDescent="0.2">
      <c r="A7216">
        <v>7211</v>
      </c>
      <c r="B7216" s="8">
        <f>'CashSum 5'!C23</f>
        <v>93474</v>
      </c>
      <c r="C7216" s="605">
        <f t="shared" si="203"/>
        <v>-86263</v>
      </c>
      <c r="D7216" s="3" t="s">
        <v>776</v>
      </c>
      <c r="E7216" s="2" t="b">
        <f t="shared" ca="1" si="202"/>
        <v>1</v>
      </c>
      <c r="F7216" s="2" cm="1">
        <f t="array" aca="1" ref="F7216" ca="1">IF(G7216&lt;&gt;"",INDIRECT("'"&amp;G7216&amp;"'!"&amp;H7216),"")</f>
        <v>93474</v>
      </c>
      <c r="G7216" s="1582" t="s">
        <v>6959</v>
      </c>
      <c r="H7216" s="2" t="s">
        <v>5756</v>
      </c>
      <c r="S7216" s="8"/>
    </row>
    <row r="7217" spans="1:19" x14ac:dyDescent="0.2">
      <c r="A7217">
        <v>7212</v>
      </c>
      <c r="B7217" s="8">
        <f>'CashSum 5'!C24</f>
        <v>0</v>
      </c>
      <c r="C7217" s="605">
        <f t="shared" si="203"/>
        <v>7212</v>
      </c>
      <c r="D7217" s="3" t="s">
        <v>776</v>
      </c>
      <c r="E7217" s="2" t="b">
        <f t="shared" ca="1" si="202"/>
        <v>1</v>
      </c>
      <c r="F7217" s="2" cm="1">
        <f t="array" aca="1" ref="F7217" ca="1">IF(G7217&lt;&gt;"",INDIRECT("'"&amp;G7217&amp;"'!"&amp;H7217),"")</f>
        <v>0</v>
      </c>
      <c r="G7217" s="1582" t="s">
        <v>6959</v>
      </c>
      <c r="H7217" s="2" t="s">
        <v>5481</v>
      </c>
      <c r="S7217" s="8"/>
    </row>
    <row r="7218" spans="1:19" x14ac:dyDescent="0.2">
      <c r="A7218" s="2">
        <v>7213</v>
      </c>
      <c r="B7218" s="8">
        <f>'CashSum 5'!C25</f>
        <v>93474</v>
      </c>
      <c r="C7218" s="605">
        <f t="shared" si="203"/>
        <v>-86261</v>
      </c>
      <c r="D7218" s="3" t="s">
        <v>776</v>
      </c>
      <c r="E7218" s="2" t="b">
        <f t="shared" ca="1" si="202"/>
        <v>1</v>
      </c>
      <c r="F7218" s="2" cm="1">
        <f t="array" aca="1" ref="F7218" ca="1">IF(G7218&lt;&gt;"",INDIRECT("'"&amp;G7218&amp;"'!"&amp;H7218),"")</f>
        <v>93474</v>
      </c>
      <c r="G7218" s="1582" t="s">
        <v>6959</v>
      </c>
      <c r="H7218" s="2" t="s">
        <v>5482</v>
      </c>
      <c r="S7218" s="8"/>
    </row>
    <row r="7219" spans="1:19" x14ac:dyDescent="0.2">
      <c r="A7219" s="2">
        <v>7214</v>
      </c>
      <c r="B7219" s="8">
        <f>'CashSum 5'!C26</f>
        <v>0</v>
      </c>
      <c r="C7219" s="605">
        <f t="shared" si="203"/>
        <v>7214</v>
      </c>
      <c r="D7219" s="3" t="s">
        <v>776</v>
      </c>
      <c r="E7219" s="2" t="b">
        <f t="shared" ca="1" si="202"/>
        <v>1</v>
      </c>
      <c r="F7219" s="2" cm="1">
        <f t="array" aca="1" ref="F7219" ca="1">IF(G7219&lt;&gt;"",INDIRECT("'"&amp;G7219&amp;"'!"&amp;H7219),"")</f>
        <v>0</v>
      </c>
      <c r="G7219" s="1582" t="s">
        <v>6959</v>
      </c>
      <c r="H7219" s="2" t="s">
        <v>4518</v>
      </c>
      <c r="S7219" s="8"/>
    </row>
    <row r="7220" spans="1:19" x14ac:dyDescent="0.2">
      <c r="A7220" s="2">
        <v>7215</v>
      </c>
      <c r="B7220" s="8">
        <f>'CashSum 5'!C27</f>
        <v>93474</v>
      </c>
      <c r="C7220" s="605">
        <f t="shared" si="203"/>
        <v>-86259</v>
      </c>
      <c r="D7220" s="3" t="s">
        <v>776</v>
      </c>
      <c r="E7220" s="2" t="b">
        <f t="shared" ca="1" si="202"/>
        <v>1</v>
      </c>
      <c r="F7220" s="2" cm="1">
        <f t="array" aca="1" ref="F7220" ca="1">IF(G7220&lt;&gt;"",INDIRECT("'"&amp;G7220&amp;"'!"&amp;H7220),"")</f>
        <v>93474</v>
      </c>
      <c r="G7220" s="1582" t="s">
        <v>6959</v>
      </c>
      <c r="H7220" s="2" t="s">
        <v>5757</v>
      </c>
      <c r="S7220" s="8"/>
    </row>
    <row r="7221" spans="1:19" x14ac:dyDescent="0.2">
      <c r="A7221" s="2">
        <v>7216</v>
      </c>
      <c r="B7221" s="8">
        <f>'CashSum 5'!C29</f>
        <v>6030356</v>
      </c>
      <c r="C7221" s="605">
        <f t="shared" si="203"/>
        <v>-6023140</v>
      </c>
      <c r="D7221" s="3" t="s">
        <v>776</v>
      </c>
      <c r="E7221" s="2" t="b">
        <f t="shared" ca="1" si="202"/>
        <v>1</v>
      </c>
      <c r="F7221" s="2" cm="1">
        <f t="array" aca="1" ref="F7221" ca="1">IF(G7221&lt;&gt;"",INDIRECT("'"&amp;G7221&amp;"'!"&amp;H7221),"")</f>
        <v>6030356</v>
      </c>
      <c r="G7221" s="1582" t="s">
        <v>6959</v>
      </c>
      <c r="H7221" s="2" t="s">
        <v>5472</v>
      </c>
      <c r="S7221" s="8"/>
    </row>
    <row r="7222" spans="1:19" x14ac:dyDescent="0.2">
      <c r="A7222" s="2">
        <v>7217</v>
      </c>
      <c r="B7222" s="8">
        <f>'CashSum 5'!C30</f>
        <v>5486500</v>
      </c>
      <c r="C7222" s="605">
        <f t="shared" si="203"/>
        <v>-5479283</v>
      </c>
      <c r="D7222" s="3" t="s">
        <v>776</v>
      </c>
      <c r="E7222" s="2" t="b">
        <f t="shared" ca="1" si="202"/>
        <v>1</v>
      </c>
      <c r="F7222" s="2" cm="1">
        <f t="array" aca="1" ref="F7222" ca="1">IF(G7222&lt;&gt;"",INDIRECT("'"&amp;G7222&amp;"'!"&amp;H7222),"")</f>
        <v>5486500</v>
      </c>
      <c r="G7222" s="1582" t="s">
        <v>6959</v>
      </c>
      <c r="H7222" s="2" t="s">
        <v>5103</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6959</v>
      </c>
      <c r="H7223" s="2" t="s">
        <v>5758</v>
      </c>
      <c r="S7223" s="8"/>
    </row>
    <row r="7224" spans="1:19" x14ac:dyDescent="0.2">
      <c r="A7224" s="2">
        <v>7219</v>
      </c>
      <c r="B7224" s="8">
        <f>'CashSum 5'!C32</f>
        <v>5486500</v>
      </c>
      <c r="C7224" s="605">
        <f t="shared" si="203"/>
        <v>-5479281</v>
      </c>
      <c r="D7224" s="3" t="s">
        <v>776</v>
      </c>
      <c r="E7224" s="2" t="b">
        <f t="shared" ca="1" si="202"/>
        <v>1</v>
      </c>
      <c r="F7224" s="2" cm="1">
        <f t="array" aca="1" ref="F7224" ca="1">IF(G7224&lt;&gt;"",INDIRECT("'"&amp;G7224&amp;"'!"&amp;H7224),"")</f>
        <v>5486500</v>
      </c>
      <c r="G7224" s="1582" t="s">
        <v>6959</v>
      </c>
      <c r="H7224" s="2" t="s">
        <v>5483</v>
      </c>
      <c r="S7224" s="8"/>
    </row>
    <row r="7225" spans="1:19" x14ac:dyDescent="0.2">
      <c r="A7225" s="2">
        <v>7220</v>
      </c>
      <c r="B7225" s="8">
        <f>'CashSum 5'!C33</f>
        <v>11516856</v>
      </c>
      <c r="C7225" s="605">
        <f t="shared" si="203"/>
        <v>-11509636</v>
      </c>
      <c r="D7225" s="3" t="s">
        <v>776</v>
      </c>
      <c r="E7225" s="2" t="b">
        <f t="shared" ca="1" si="202"/>
        <v>1</v>
      </c>
      <c r="F7225" s="2" cm="1">
        <f t="array" aca="1" ref="F7225" ca="1">IF(G7225&lt;&gt;"",INDIRECT("'"&amp;G7225&amp;"'!"&amp;H7225),"")</f>
        <v>11516856</v>
      </c>
      <c r="G7225" s="1582" t="s">
        <v>6959</v>
      </c>
      <c r="H7225" s="2" t="s">
        <v>5484</v>
      </c>
      <c r="S7225" s="8"/>
    </row>
    <row r="7226" spans="1:19" x14ac:dyDescent="0.2">
      <c r="A7226" s="2">
        <v>7221</v>
      </c>
      <c r="B7226" s="8">
        <f>'CashSum 5'!C34</f>
        <v>5486500</v>
      </c>
      <c r="C7226" s="605">
        <f t="shared" si="203"/>
        <v>-5479279</v>
      </c>
      <c r="D7226" s="3" t="s">
        <v>776</v>
      </c>
      <c r="E7226" s="2" t="b">
        <f t="shared" ca="1" si="202"/>
        <v>1</v>
      </c>
      <c r="F7226" s="2" cm="1">
        <f t="array" aca="1" ref="F7226" ca="1">IF(G7226&lt;&gt;"",INDIRECT("'"&amp;G7226&amp;"'!"&amp;H7226),"")</f>
        <v>5486500</v>
      </c>
      <c r="G7226" s="1582" t="s">
        <v>6959</v>
      </c>
      <c r="H7226" s="2" t="s">
        <v>4534</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6959</v>
      </c>
      <c r="H7227" s="2" t="s">
        <v>4520</v>
      </c>
      <c r="S7227" s="8"/>
    </row>
    <row r="7228" spans="1:19" x14ac:dyDescent="0.2">
      <c r="A7228" s="2">
        <v>7223</v>
      </c>
      <c r="B7228" s="8">
        <f>'CashSum 5'!C36</f>
        <v>5486500</v>
      </c>
      <c r="C7228" s="605">
        <f t="shared" si="203"/>
        <v>-5479277</v>
      </c>
      <c r="D7228" s="3" t="s">
        <v>776</v>
      </c>
      <c r="E7228" s="2" t="b">
        <f t="shared" ca="1" si="202"/>
        <v>1</v>
      </c>
      <c r="F7228" s="2" cm="1">
        <f t="array" aca="1" ref="F7228" ca="1">IF(G7228&lt;&gt;"",INDIRECT("'"&amp;G7228&amp;"'!"&amp;H7228),"")</f>
        <v>5486500</v>
      </c>
      <c r="G7228" s="1582" t="s">
        <v>6959</v>
      </c>
      <c r="H7228" s="2" t="s">
        <v>4521</v>
      </c>
      <c r="S7228" s="8"/>
    </row>
    <row r="7229" spans="1:19" x14ac:dyDescent="0.2">
      <c r="A7229" s="2">
        <v>7224</v>
      </c>
      <c r="B7229" s="8">
        <f>'CashSum 5'!C37</f>
        <v>6030356</v>
      </c>
      <c r="C7229" s="605">
        <f t="shared" si="203"/>
        <v>-6023132</v>
      </c>
      <c r="D7229" s="3" t="s">
        <v>776</v>
      </c>
      <c r="E7229" s="2" t="b">
        <f t="shared" ca="1" si="202"/>
        <v>1</v>
      </c>
      <c r="F7229" s="2" cm="1">
        <f t="array" aca="1" ref="F7229" ca="1">IF(G7229&lt;&gt;"",INDIRECT("'"&amp;G7229&amp;"'!"&amp;H7229),"")</f>
        <v>6030356</v>
      </c>
      <c r="G7229" s="1582" t="s">
        <v>6959</v>
      </c>
      <c r="H7229" s="2" t="s">
        <v>4522</v>
      </c>
      <c r="S7229" s="8"/>
    </row>
    <row r="7230" spans="1:19" x14ac:dyDescent="0.2">
      <c r="A7230" s="2">
        <v>7225</v>
      </c>
      <c r="B7230" s="8">
        <f>'CashSum 5'!D29</f>
        <v>1109562</v>
      </c>
      <c r="C7230" s="605">
        <f t="shared" si="203"/>
        <v>-1102337</v>
      </c>
      <c r="D7230" s="3" t="s">
        <v>776</v>
      </c>
      <c r="E7230" s="2" t="b">
        <f t="shared" ca="1" si="202"/>
        <v>1</v>
      </c>
      <c r="F7230" s="2" cm="1">
        <f t="array" aca="1" ref="F7230" ca="1">IF(G7230&lt;&gt;"",INDIRECT("'"&amp;G7230&amp;"'!"&amp;H7230),"")</f>
        <v>1109562</v>
      </c>
      <c r="G7230" s="1582" t="s">
        <v>6959</v>
      </c>
      <c r="H7230" s="2" t="s">
        <v>5473</v>
      </c>
      <c r="S7230" s="8"/>
    </row>
    <row r="7231" spans="1:19" x14ac:dyDescent="0.2">
      <c r="A7231" s="2">
        <v>7226</v>
      </c>
      <c r="B7231" s="8">
        <f>'CashSum 5'!D30</f>
        <v>650781</v>
      </c>
      <c r="C7231" s="605">
        <f t="shared" si="203"/>
        <v>-643555</v>
      </c>
      <c r="D7231" s="3" t="s">
        <v>776</v>
      </c>
      <c r="E7231" s="2" t="b">
        <f t="shared" ca="1" si="202"/>
        <v>1</v>
      </c>
      <c r="F7231" s="2" cm="1">
        <f t="array" aca="1" ref="F7231" ca="1">IF(G7231&lt;&gt;"",INDIRECT("'"&amp;G7231&amp;"'!"&amp;H7231),"")</f>
        <v>650781</v>
      </c>
      <c r="G7231" s="1582" t="s">
        <v>6959</v>
      </c>
      <c r="H7231" s="2" t="s">
        <v>5104</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6959</v>
      </c>
      <c r="H7232" s="2" t="s">
        <v>5204</v>
      </c>
      <c r="S7232" s="8"/>
    </row>
    <row r="7233" spans="1:19" x14ac:dyDescent="0.2">
      <c r="A7233">
        <v>7228</v>
      </c>
      <c r="B7233" s="8">
        <f>'CashSum 5'!D32</f>
        <v>650781</v>
      </c>
      <c r="C7233" s="605">
        <f t="shared" si="203"/>
        <v>-643553</v>
      </c>
      <c r="D7233" s="3" t="s">
        <v>776</v>
      </c>
      <c r="E7233" s="2" t="b">
        <f t="shared" ca="1" si="202"/>
        <v>1</v>
      </c>
      <c r="F7233" s="2" cm="1">
        <f t="array" aca="1" ref="F7233" ca="1">IF(G7233&lt;&gt;"",INDIRECT("'"&amp;G7233&amp;"'!"&amp;H7233),"")</f>
        <v>650781</v>
      </c>
      <c r="G7233" s="1582" t="s">
        <v>6959</v>
      </c>
      <c r="H7233" s="2" t="s">
        <v>5320</v>
      </c>
      <c r="S7233" s="8"/>
    </row>
    <row r="7234" spans="1:19" x14ac:dyDescent="0.2">
      <c r="A7234">
        <v>7229</v>
      </c>
      <c r="B7234" s="8">
        <f>'CashSum 5'!D33</f>
        <v>1760343</v>
      </c>
      <c r="C7234" s="605">
        <f t="shared" si="203"/>
        <v>-1753114</v>
      </c>
      <c r="D7234" s="3" t="s">
        <v>776</v>
      </c>
      <c r="E7234" s="2" t="b">
        <f t="shared" ref="E7234:E7297" ca="1" si="204">F7234=B7234</f>
        <v>1</v>
      </c>
      <c r="F7234" s="2" cm="1">
        <f t="array" aca="1" ref="F7234" ca="1">IF(G7234&lt;&gt;"",INDIRECT("'"&amp;G7234&amp;"'!"&amp;H7234),"")</f>
        <v>1760343</v>
      </c>
      <c r="G7234" s="1582" t="s">
        <v>6959</v>
      </c>
      <c r="H7234" s="2" t="s">
        <v>6384</v>
      </c>
      <c r="S7234" s="8"/>
    </row>
    <row r="7235" spans="1:19" x14ac:dyDescent="0.2">
      <c r="A7235">
        <v>7230</v>
      </c>
      <c r="B7235" s="8">
        <f>'CashSum 5'!D34</f>
        <v>650781</v>
      </c>
      <c r="C7235" s="605">
        <f t="shared" si="203"/>
        <v>-643551</v>
      </c>
      <c r="D7235" s="3" t="s">
        <v>776</v>
      </c>
      <c r="E7235" s="2" t="b">
        <f t="shared" ca="1" si="204"/>
        <v>1</v>
      </c>
      <c r="F7235" s="2" cm="1">
        <f t="array" aca="1" ref="F7235" ca="1">IF(G7235&lt;&gt;"",INDIRECT("'"&amp;G7235&amp;"'!"&amp;H7235),"")</f>
        <v>650781</v>
      </c>
      <c r="G7235" s="1582" t="s">
        <v>6959</v>
      </c>
      <c r="H7235" s="2" t="s">
        <v>4571</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6959</v>
      </c>
      <c r="H7236" s="2" t="s">
        <v>5197</v>
      </c>
      <c r="S7236" s="8"/>
    </row>
    <row r="7237" spans="1:19" x14ac:dyDescent="0.2">
      <c r="A7237">
        <v>7232</v>
      </c>
      <c r="B7237" s="8">
        <f>'CashSum 5'!D36</f>
        <v>650781</v>
      </c>
      <c r="C7237" s="605">
        <f t="shared" si="205"/>
        <v>-643549</v>
      </c>
      <c r="D7237" s="3" t="s">
        <v>776</v>
      </c>
      <c r="E7237" s="2" t="b">
        <f t="shared" ca="1" si="204"/>
        <v>1</v>
      </c>
      <c r="F7237" s="2" cm="1">
        <f t="array" aca="1" ref="F7237" ca="1">IF(G7237&lt;&gt;"",INDIRECT("'"&amp;G7237&amp;"'!"&amp;H7237),"")</f>
        <v>650781</v>
      </c>
      <c r="G7237" s="1582" t="s">
        <v>6959</v>
      </c>
      <c r="H7237" s="2" t="s">
        <v>5198</v>
      </c>
      <c r="S7237" s="8"/>
    </row>
    <row r="7238" spans="1:19" x14ac:dyDescent="0.2">
      <c r="A7238">
        <v>7233</v>
      </c>
      <c r="B7238" s="8">
        <f>'CashSum 5'!D37</f>
        <v>1109562</v>
      </c>
      <c r="C7238" s="605">
        <f t="shared" si="205"/>
        <v>-1102329</v>
      </c>
      <c r="D7238" s="3" t="s">
        <v>776</v>
      </c>
      <c r="E7238" s="2" t="b">
        <f t="shared" ca="1" si="204"/>
        <v>1</v>
      </c>
      <c r="F7238" s="2" cm="1">
        <f t="array" aca="1" ref="F7238" ca="1">IF(G7238&lt;&gt;"",INDIRECT("'"&amp;G7238&amp;"'!"&amp;H7238),"")</f>
        <v>1109562</v>
      </c>
      <c r="G7238" s="1582" t="s">
        <v>6959</v>
      </c>
      <c r="H7238" s="2" t="s">
        <v>5199</v>
      </c>
      <c r="S7238" s="8"/>
    </row>
    <row r="7239" spans="1:19" x14ac:dyDescent="0.2">
      <c r="A7239">
        <v>7234</v>
      </c>
      <c r="B7239" s="8">
        <f>'CashSum 5'!E29</f>
        <v>140269</v>
      </c>
      <c r="C7239" s="605">
        <f t="shared" si="205"/>
        <v>-133035</v>
      </c>
      <c r="D7239" s="3" t="s">
        <v>776</v>
      </c>
      <c r="E7239" s="2" t="b">
        <f t="shared" ca="1" si="204"/>
        <v>1</v>
      </c>
      <c r="F7239" s="2" cm="1">
        <f t="array" aca="1" ref="F7239" ca="1">IF(G7239&lt;&gt;"",INDIRECT("'"&amp;G7239&amp;"'!"&amp;H7239),"")</f>
        <v>140269</v>
      </c>
      <c r="G7239" s="1582" t="s">
        <v>6959</v>
      </c>
      <c r="H7239" s="2" t="s">
        <v>6385</v>
      </c>
      <c r="S7239" s="8"/>
    </row>
    <row r="7240" spans="1:19" x14ac:dyDescent="0.2">
      <c r="A7240">
        <v>7235</v>
      </c>
      <c r="B7240" s="8">
        <f>'CashSum 5'!E30</f>
        <v>0</v>
      </c>
      <c r="C7240" s="605">
        <f t="shared" si="205"/>
        <v>7235</v>
      </c>
      <c r="D7240" s="3" t="s">
        <v>776</v>
      </c>
      <c r="E7240" s="2" t="b">
        <f t="shared" ca="1" si="204"/>
        <v>1</v>
      </c>
      <c r="F7240" s="2" cm="1">
        <f t="array" aca="1" ref="F7240" ca="1">IF(G7240&lt;&gt;"",INDIRECT("'"&amp;G7240&amp;"'!"&amp;H7240),"")</f>
        <v>0</v>
      </c>
      <c r="G7240" s="1582" t="s">
        <v>6959</v>
      </c>
      <c r="H7240" s="2" t="s">
        <v>5105</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6959</v>
      </c>
      <c r="H7241" s="2" t="s">
        <v>6386</v>
      </c>
      <c r="S7241" s="8"/>
    </row>
    <row r="7242" spans="1:19" x14ac:dyDescent="0.2">
      <c r="A7242">
        <v>7237</v>
      </c>
      <c r="B7242" s="8">
        <f>'CashSum 5'!E32</f>
        <v>0</v>
      </c>
      <c r="C7242" s="605">
        <f t="shared" si="205"/>
        <v>7237</v>
      </c>
      <c r="D7242" s="3" t="s">
        <v>776</v>
      </c>
      <c r="E7242" s="2" t="b">
        <f t="shared" ca="1" si="204"/>
        <v>1</v>
      </c>
      <c r="F7242" s="2" cm="1">
        <f t="array" aca="1" ref="F7242" ca="1">IF(G7242&lt;&gt;"",INDIRECT("'"&amp;G7242&amp;"'!"&amp;H7242),"")</f>
        <v>0</v>
      </c>
      <c r="G7242" s="1582" t="s">
        <v>6959</v>
      </c>
      <c r="H7242" s="2" t="s">
        <v>6387</v>
      </c>
      <c r="S7242" s="8"/>
    </row>
    <row r="7243" spans="1:19" x14ac:dyDescent="0.2">
      <c r="A7243">
        <v>7238</v>
      </c>
      <c r="B7243" s="8">
        <f>'CashSum 5'!E33</f>
        <v>140269</v>
      </c>
      <c r="C7243" s="605">
        <f t="shared" si="205"/>
        <v>-133031</v>
      </c>
      <c r="D7243" s="3" t="s">
        <v>776</v>
      </c>
      <c r="E7243" s="2" t="b">
        <f t="shared" ca="1" si="204"/>
        <v>1</v>
      </c>
      <c r="F7243" s="2" cm="1">
        <f t="array" aca="1" ref="F7243" ca="1">IF(G7243&lt;&gt;"",INDIRECT("'"&amp;G7243&amp;"'!"&amp;H7243),"")</f>
        <v>140269</v>
      </c>
      <c r="G7243" s="1582" t="s">
        <v>6959</v>
      </c>
      <c r="H7243" s="2" t="s">
        <v>5321</v>
      </c>
      <c r="S7243" s="8"/>
    </row>
    <row r="7244" spans="1:19" x14ac:dyDescent="0.2">
      <c r="A7244">
        <v>7239</v>
      </c>
      <c r="B7244" s="8">
        <f>'CashSum 5'!E34</f>
        <v>0</v>
      </c>
      <c r="C7244" s="605">
        <f t="shared" si="205"/>
        <v>7239</v>
      </c>
      <c r="D7244" s="3" t="s">
        <v>776</v>
      </c>
      <c r="E7244" s="2" t="b">
        <f t="shared" ca="1" si="204"/>
        <v>1</v>
      </c>
      <c r="F7244" s="2" cm="1">
        <f t="array" aca="1" ref="F7244" ca="1">IF(G7244&lt;&gt;"",INDIRECT("'"&amp;G7244&amp;"'!"&amp;H7244),"")</f>
        <v>0</v>
      </c>
      <c r="G7244" s="1582" t="s">
        <v>6959</v>
      </c>
      <c r="H7244" s="2" t="s">
        <v>4609</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6959</v>
      </c>
      <c r="H7245" s="2" t="s">
        <v>5200</v>
      </c>
      <c r="S7245" s="8"/>
    </row>
    <row r="7246" spans="1:19" x14ac:dyDescent="0.2">
      <c r="A7246">
        <v>7241</v>
      </c>
      <c r="B7246" s="8">
        <f>'CashSum 5'!E36</f>
        <v>0</v>
      </c>
      <c r="C7246" s="605">
        <f t="shared" si="205"/>
        <v>7241</v>
      </c>
      <c r="D7246" s="3" t="s">
        <v>776</v>
      </c>
      <c r="E7246" s="2" t="b">
        <f t="shared" ca="1" si="204"/>
        <v>1</v>
      </c>
      <c r="F7246" s="2" cm="1">
        <f t="array" aca="1" ref="F7246" ca="1">IF(G7246&lt;&gt;"",INDIRECT("'"&amp;G7246&amp;"'!"&amp;H7246),"")</f>
        <v>0</v>
      </c>
      <c r="G7246" s="1582" t="s">
        <v>6959</v>
      </c>
      <c r="H7246" s="2" t="s">
        <v>4524</v>
      </c>
      <c r="S7246" s="8"/>
    </row>
    <row r="7247" spans="1:19" x14ac:dyDescent="0.2">
      <c r="A7247">
        <v>7242</v>
      </c>
      <c r="B7247" s="8">
        <f>'CashSum 5'!E37</f>
        <v>140269</v>
      </c>
      <c r="C7247" s="605">
        <f t="shared" si="205"/>
        <v>-133027</v>
      </c>
      <c r="D7247" s="3" t="s">
        <v>776</v>
      </c>
      <c r="E7247" s="2" t="b">
        <f t="shared" ca="1" si="204"/>
        <v>1</v>
      </c>
      <c r="F7247" s="2" cm="1">
        <f t="array" aca="1" ref="F7247" ca="1">IF(G7247&lt;&gt;"",INDIRECT("'"&amp;G7247&amp;"'!"&amp;H7247),"")</f>
        <v>140269</v>
      </c>
      <c r="G7247" s="1582" t="s">
        <v>6959</v>
      </c>
      <c r="H7247" s="2" t="s">
        <v>4525</v>
      </c>
      <c r="S7247" s="8"/>
    </row>
    <row r="7248" spans="1:19" x14ac:dyDescent="0.2">
      <c r="A7248">
        <v>7243</v>
      </c>
      <c r="B7248" s="8">
        <f>'CashSum 5'!F29</f>
        <v>489804</v>
      </c>
      <c r="C7248" s="605">
        <f t="shared" si="205"/>
        <v>-482561</v>
      </c>
      <c r="D7248" s="3" t="s">
        <v>776</v>
      </c>
      <c r="E7248" s="2" t="b">
        <f t="shared" ca="1" si="204"/>
        <v>1</v>
      </c>
      <c r="F7248" s="2" cm="1">
        <f t="array" aca="1" ref="F7248" ca="1">IF(G7248&lt;&gt;"",INDIRECT("'"&amp;G7248&amp;"'!"&amp;H7248),"")</f>
        <v>489804</v>
      </c>
      <c r="G7248" s="1582" t="s">
        <v>6959</v>
      </c>
      <c r="H7248" s="2" t="s">
        <v>5474</v>
      </c>
      <c r="S7248" s="8"/>
    </row>
    <row r="7249" spans="1:19" x14ac:dyDescent="0.2">
      <c r="A7249">
        <v>7244</v>
      </c>
      <c r="B7249" s="8">
        <f>'CashSum 5'!F30</f>
        <v>313000</v>
      </c>
      <c r="C7249" s="605">
        <f t="shared" si="205"/>
        <v>-305756</v>
      </c>
      <c r="D7249" s="3" t="s">
        <v>776</v>
      </c>
      <c r="E7249" s="2" t="b">
        <f t="shared" ca="1" si="204"/>
        <v>1</v>
      </c>
      <c r="F7249" s="2" cm="1">
        <f t="array" aca="1" ref="F7249" ca="1">IF(G7249&lt;&gt;"",INDIRECT("'"&amp;G7249&amp;"'!"&amp;H7249),"")</f>
        <v>313000</v>
      </c>
      <c r="G7249" s="1582" t="s">
        <v>6959</v>
      </c>
      <c r="H7249" s="2" t="s">
        <v>5107</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6959</v>
      </c>
      <c r="H7250" s="2" t="s">
        <v>6388</v>
      </c>
      <c r="S7250" s="8"/>
    </row>
    <row r="7251" spans="1:19" x14ac:dyDescent="0.2">
      <c r="A7251">
        <v>7246</v>
      </c>
      <c r="B7251" s="8">
        <f>'CashSum 5'!F32</f>
        <v>313000</v>
      </c>
      <c r="C7251" s="605">
        <f t="shared" si="205"/>
        <v>-305754</v>
      </c>
      <c r="D7251" s="3" t="s">
        <v>776</v>
      </c>
      <c r="E7251" s="2" t="b">
        <f t="shared" ca="1" si="204"/>
        <v>1</v>
      </c>
      <c r="F7251" s="2" cm="1">
        <f t="array" aca="1" ref="F7251" ca="1">IF(G7251&lt;&gt;"",INDIRECT("'"&amp;G7251&amp;"'!"&amp;H7251),"")</f>
        <v>313000</v>
      </c>
      <c r="G7251" s="1582" t="s">
        <v>6959</v>
      </c>
      <c r="H7251" s="2" t="s">
        <v>6389</v>
      </c>
      <c r="S7251" s="8"/>
    </row>
    <row r="7252" spans="1:19" x14ac:dyDescent="0.2">
      <c r="A7252">
        <v>7247</v>
      </c>
      <c r="B7252" s="8">
        <f>'CashSum 5'!F33</f>
        <v>802804</v>
      </c>
      <c r="C7252" s="605">
        <f t="shared" si="205"/>
        <v>-795557</v>
      </c>
      <c r="D7252" s="3" t="s">
        <v>776</v>
      </c>
      <c r="E7252" s="2" t="b">
        <f t="shared" ca="1" si="204"/>
        <v>1</v>
      </c>
      <c r="F7252" s="2" cm="1">
        <f t="array" aca="1" ref="F7252" ca="1">IF(G7252&lt;&gt;"",INDIRECT("'"&amp;G7252&amp;"'!"&amp;H7252),"")</f>
        <v>802804</v>
      </c>
      <c r="G7252" s="1582" t="s">
        <v>6959</v>
      </c>
      <c r="H7252" s="2" t="s">
        <v>6390</v>
      </c>
      <c r="S7252" s="8"/>
    </row>
    <row r="7253" spans="1:19" x14ac:dyDescent="0.2">
      <c r="A7253">
        <v>7248</v>
      </c>
      <c r="B7253" s="8">
        <f>'CashSum 5'!F34</f>
        <v>354000</v>
      </c>
      <c r="C7253" s="605">
        <f t="shared" si="205"/>
        <v>-346752</v>
      </c>
      <c r="D7253" s="3" t="s">
        <v>776</v>
      </c>
      <c r="E7253" s="2" t="b">
        <f t="shared" ca="1" si="204"/>
        <v>1</v>
      </c>
      <c r="F7253" s="2" cm="1">
        <f t="array" aca="1" ref="F7253" ca="1">IF(G7253&lt;&gt;"",INDIRECT("'"&amp;G7253&amp;"'!"&amp;H7253),"")</f>
        <v>354000</v>
      </c>
      <c r="G7253" s="1582" t="s">
        <v>6959</v>
      </c>
      <c r="H7253" s="2" t="s">
        <v>4646</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6959</v>
      </c>
      <c r="H7254" s="2" t="s">
        <v>5201</v>
      </c>
      <c r="S7254" s="8"/>
    </row>
    <row r="7255" spans="1:19" x14ac:dyDescent="0.2">
      <c r="A7255">
        <v>7250</v>
      </c>
      <c r="B7255" s="8">
        <f>'CashSum 5'!F36</f>
        <v>354000</v>
      </c>
      <c r="C7255" s="605">
        <f t="shared" si="205"/>
        <v>-346750</v>
      </c>
      <c r="D7255" s="3" t="s">
        <v>776</v>
      </c>
      <c r="E7255" s="2" t="b">
        <f t="shared" ca="1" si="204"/>
        <v>1</v>
      </c>
      <c r="F7255" s="2" cm="1">
        <f t="array" aca="1" ref="F7255" ca="1">IF(G7255&lt;&gt;"",INDIRECT("'"&amp;G7255&amp;"'!"&amp;H7255),"")</f>
        <v>354000</v>
      </c>
      <c r="G7255" s="1582" t="s">
        <v>6959</v>
      </c>
      <c r="H7255" s="2" t="s">
        <v>5202</v>
      </c>
      <c r="S7255" s="8"/>
    </row>
    <row r="7256" spans="1:19" x14ac:dyDescent="0.2">
      <c r="A7256">
        <v>7251</v>
      </c>
      <c r="B7256" s="8">
        <f>'CashSum 5'!F37</f>
        <v>448804</v>
      </c>
      <c r="C7256" s="605">
        <f t="shared" si="205"/>
        <v>-441553</v>
      </c>
      <c r="D7256" s="3" t="s">
        <v>776</v>
      </c>
      <c r="E7256" s="2" t="b">
        <f t="shared" ca="1" si="204"/>
        <v>1</v>
      </c>
      <c r="F7256" s="2" cm="1">
        <f t="array" aca="1" ref="F7256" ca="1">IF(G7256&lt;&gt;"",INDIRECT("'"&amp;G7256&amp;"'!"&amp;H7256),"")</f>
        <v>448804</v>
      </c>
      <c r="G7256" s="1582" t="s">
        <v>6959</v>
      </c>
      <c r="H7256" s="2" t="s">
        <v>5203</v>
      </c>
      <c r="S7256" s="8"/>
    </row>
    <row r="7257" spans="1:19" x14ac:dyDescent="0.2">
      <c r="A7257">
        <v>7252</v>
      </c>
      <c r="B7257" s="8">
        <f>'CashSum 5'!G29</f>
        <v>153257</v>
      </c>
      <c r="C7257" s="605">
        <f t="shared" si="205"/>
        <v>-146005</v>
      </c>
      <c r="D7257" s="3" t="s">
        <v>776</v>
      </c>
      <c r="E7257" s="2" t="b">
        <f t="shared" ca="1" si="204"/>
        <v>1</v>
      </c>
      <c r="F7257" s="2" cm="1">
        <f t="array" aca="1" ref="F7257" ca="1">IF(G7257&lt;&gt;"",INDIRECT("'"&amp;G7257&amp;"'!"&amp;H7257),"")</f>
        <v>153257</v>
      </c>
      <c r="G7257" s="1582" t="s">
        <v>6959</v>
      </c>
      <c r="H7257" s="2" t="s">
        <v>6391</v>
      </c>
      <c r="S7257" s="8"/>
    </row>
    <row r="7258" spans="1:19" x14ac:dyDescent="0.2">
      <c r="A7258">
        <v>7253</v>
      </c>
      <c r="B7258" s="8">
        <f>'CashSum 5'!G30</f>
        <v>206000</v>
      </c>
      <c r="C7258" s="605">
        <f t="shared" si="205"/>
        <v>-198747</v>
      </c>
      <c r="D7258" s="3" t="s">
        <v>776</v>
      </c>
      <c r="E7258" s="2" t="b">
        <f t="shared" ca="1" si="204"/>
        <v>1</v>
      </c>
      <c r="F7258" s="2" cm="1">
        <f t="array" aca="1" ref="F7258" ca="1">IF(G7258&lt;&gt;"",INDIRECT("'"&amp;G7258&amp;"'!"&amp;H7258),"")</f>
        <v>206000</v>
      </c>
      <c r="G7258" s="1582" t="s">
        <v>6959</v>
      </c>
      <c r="H7258" s="2" t="s">
        <v>5108</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6959</v>
      </c>
      <c r="H7259" s="2" t="s">
        <v>6392</v>
      </c>
      <c r="S7259" s="8"/>
    </row>
    <row r="7260" spans="1:19" x14ac:dyDescent="0.2">
      <c r="A7260">
        <v>7255</v>
      </c>
      <c r="B7260" s="8">
        <f>'CashSum 5'!G32</f>
        <v>206000</v>
      </c>
      <c r="C7260" s="605">
        <f t="shared" si="205"/>
        <v>-198745</v>
      </c>
      <c r="D7260" s="3" t="s">
        <v>776</v>
      </c>
      <c r="E7260" s="2" t="b">
        <f t="shared" ca="1" si="204"/>
        <v>1</v>
      </c>
      <c r="F7260" s="2" cm="1">
        <f t="array" aca="1" ref="F7260" ca="1">IF(G7260&lt;&gt;"",INDIRECT("'"&amp;G7260&amp;"'!"&amp;H7260),"")</f>
        <v>206000</v>
      </c>
      <c r="G7260" s="1582" t="s">
        <v>6959</v>
      </c>
      <c r="H7260" s="2" t="s">
        <v>6393</v>
      </c>
      <c r="S7260" s="8"/>
    </row>
    <row r="7261" spans="1:19" x14ac:dyDescent="0.2">
      <c r="A7261">
        <v>7256</v>
      </c>
      <c r="B7261" s="8">
        <f>'CashSum 5'!G33</f>
        <v>359257</v>
      </c>
      <c r="C7261" s="605">
        <f t="shared" si="205"/>
        <v>-352001</v>
      </c>
      <c r="D7261" s="3" t="s">
        <v>776</v>
      </c>
      <c r="E7261" s="2" t="b">
        <f t="shared" ca="1" si="204"/>
        <v>1</v>
      </c>
      <c r="F7261" s="2" cm="1">
        <f t="array" aca="1" ref="F7261" ca="1">IF(G7261&lt;&gt;"",INDIRECT("'"&amp;G7261&amp;"'!"&amp;H7261),"")</f>
        <v>359257</v>
      </c>
      <c r="G7261" s="1582" t="s">
        <v>6959</v>
      </c>
      <c r="H7261" s="2" t="s">
        <v>6394</v>
      </c>
      <c r="S7261" s="8"/>
    </row>
    <row r="7262" spans="1:19" x14ac:dyDescent="0.2">
      <c r="A7262">
        <v>7257</v>
      </c>
      <c r="B7262" s="8">
        <f>'CashSum 5'!G34</f>
        <v>206000</v>
      </c>
      <c r="C7262" s="605">
        <f t="shared" si="205"/>
        <v>-198743</v>
      </c>
      <c r="D7262" s="3" t="s">
        <v>776</v>
      </c>
      <c r="E7262" s="2" t="b">
        <f t="shared" ca="1" si="204"/>
        <v>1</v>
      </c>
      <c r="F7262" s="2" cm="1">
        <f t="array" aca="1" ref="F7262" ca="1">IF(G7262&lt;&gt;"",INDIRECT("'"&amp;G7262&amp;"'!"&amp;H7262),"")</f>
        <v>206000</v>
      </c>
      <c r="G7262" s="1582" t="s">
        <v>6959</v>
      </c>
      <c r="H7262" s="2" t="s">
        <v>4684</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6959</v>
      </c>
      <c r="H7263" s="2" t="s">
        <v>6395</v>
      </c>
      <c r="S7263" s="8"/>
    </row>
    <row r="7264" spans="1:19" x14ac:dyDescent="0.2">
      <c r="A7264">
        <v>7259</v>
      </c>
      <c r="B7264" s="8">
        <f>'CashSum 5'!G36</f>
        <v>206000</v>
      </c>
      <c r="C7264" s="605">
        <f t="shared" si="205"/>
        <v>-198741</v>
      </c>
      <c r="D7264" s="3" t="s">
        <v>776</v>
      </c>
      <c r="E7264" s="2" t="b">
        <f t="shared" ca="1" si="204"/>
        <v>1</v>
      </c>
      <c r="F7264" s="2" cm="1">
        <f t="array" aca="1" ref="F7264" ca="1">IF(G7264&lt;&gt;"",INDIRECT("'"&amp;G7264&amp;"'!"&amp;H7264),"")</f>
        <v>206000</v>
      </c>
      <c r="G7264" s="1582" t="s">
        <v>6959</v>
      </c>
      <c r="H7264" s="2" t="s">
        <v>6396</v>
      </c>
      <c r="S7264" s="8"/>
    </row>
    <row r="7265" spans="1:19" x14ac:dyDescent="0.2">
      <c r="A7265">
        <v>7260</v>
      </c>
      <c r="B7265" s="8">
        <f>'CashSum 5'!G37</f>
        <v>153257</v>
      </c>
      <c r="C7265" s="605">
        <f t="shared" si="205"/>
        <v>-145997</v>
      </c>
      <c r="D7265" s="3" t="s">
        <v>776</v>
      </c>
      <c r="E7265" s="2" t="b">
        <f t="shared" ca="1" si="204"/>
        <v>1</v>
      </c>
      <c r="F7265" s="2" cm="1">
        <f t="array" aca="1" ref="F7265" ca="1">IF(G7265&lt;&gt;"",INDIRECT("'"&amp;G7265&amp;"'!"&amp;H7265),"")</f>
        <v>153257</v>
      </c>
      <c r="G7265" s="1582" t="s">
        <v>6959</v>
      </c>
      <c r="H7265" s="2" t="s">
        <v>6397</v>
      </c>
      <c r="S7265" s="8"/>
    </row>
    <row r="7266" spans="1:19" x14ac:dyDescent="0.2">
      <c r="A7266">
        <v>7261</v>
      </c>
      <c r="B7266" s="8">
        <f>'CashSum 5'!H29</f>
        <v>0</v>
      </c>
      <c r="C7266" s="605">
        <f t="shared" si="205"/>
        <v>7261</v>
      </c>
      <c r="D7266" s="3" t="s">
        <v>776</v>
      </c>
      <c r="E7266" s="2" t="b">
        <f t="shared" ca="1" si="204"/>
        <v>1</v>
      </c>
      <c r="F7266" s="2" cm="1">
        <f t="array" aca="1" ref="F7266" ca="1">IF(G7266&lt;&gt;"",INDIRECT("'"&amp;G7266&amp;"'!"&amp;H7266),"")</f>
        <v>0</v>
      </c>
      <c r="G7266" s="1582" t="s">
        <v>6959</v>
      </c>
      <c r="H7266" s="2" t="s">
        <v>5859</v>
      </c>
      <c r="S7266" s="8"/>
    </row>
    <row r="7267" spans="1:19" x14ac:dyDescent="0.2">
      <c r="A7267">
        <v>7262</v>
      </c>
      <c r="B7267" s="8">
        <f>'CashSum 5'!H30</f>
        <v>0</v>
      </c>
      <c r="C7267" s="605">
        <f t="shared" si="205"/>
        <v>7262</v>
      </c>
      <c r="D7267" s="3" t="s">
        <v>776</v>
      </c>
      <c r="E7267" s="2" t="b">
        <f t="shared" ca="1" si="204"/>
        <v>1</v>
      </c>
      <c r="F7267" s="2" cm="1">
        <f t="array" aca="1" ref="F7267" ca="1">IF(G7267&lt;&gt;"",INDIRECT("'"&amp;G7267&amp;"'!"&amp;H7267),"")</f>
        <v>0</v>
      </c>
      <c r="G7267" s="1582" t="s">
        <v>6959</v>
      </c>
      <c r="H7267" s="2" t="s">
        <v>5109</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6959</v>
      </c>
      <c r="H7268" s="2" t="s">
        <v>5861</v>
      </c>
      <c r="S7268" s="8"/>
    </row>
    <row r="7269" spans="1:19" x14ac:dyDescent="0.2">
      <c r="A7269">
        <v>7264</v>
      </c>
      <c r="B7269" s="8">
        <f>'CashSum 5'!H32</f>
        <v>0</v>
      </c>
      <c r="C7269" s="605">
        <f t="shared" si="205"/>
        <v>7264</v>
      </c>
      <c r="D7269" s="3" t="s">
        <v>776</v>
      </c>
      <c r="E7269" s="2" t="b">
        <f t="shared" ca="1" si="204"/>
        <v>1</v>
      </c>
      <c r="F7269" s="2" cm="1">
        <f t="array" aca="1" ref="F7269" ca="1">IF(G7269&lt;&gt;"",INDIRECT("'"&amp;G7269&amp;"'!"&amp;H7269),"")</f>
        <v>0</v>
      </c>
      <c r="G7269" s="1582" t="s">
        <v>6959</v>
      </c>
      <c r="H7269" s="2" t="s">
        <v>5863</v>
      </c>
      <c r="S7269" s="8"/>
    </row>
    <row r="7270" spans="1:19" x14ac:dyDescent="0.2">
      <c r="A7270">
        <v>7265</v>
      </c>
      <c r="B7270" s="8">
        <f>'CashSum 5'!H33</f>
        <v>0</v>
      </c>
      <c r="C7270" s="605">
        <f t="shared" si="205"/>
        <v>7265</v>
      </c>
      <c r="D7270" s="3" t="s">
        <v>776</v>
      </c>
      <c r="E7270" s="2" t="b">
        <f t="shared" ca="1" si="204"/>
        <v>1</v>
      </c>
      <c r="F7270" s="2" cm="1">
        <f t="array" aca="1" ref="F7270" ca="1">IF(G7270&lt;&gt;"",INDIRECT("'"&amp;G7270&amp;"'!"&amp;H7270),"")</f>
        <v>0</v>
      </c>
      <c r="G7270" s="1582" t="s">
        <v>6959</v>
      </c>
      <c r="H7270" s="2" t="s">
        <v>6398</v>
      </c>
      <c r="S7270" s="8"/>
    </row>
    <row r="7271" spans="1:19" x14ac:dyDescent="0.2">
      <c r="A7271">
        <v>7266</v>
      </c>
      <c r="B7271" s="8">
        <f>'CashSum 5'!H34</f>
        <v>0</v>
      </c>
      <c r="C7271" s="605">
        <f t="shared" si="205"/>
        <v>7266</v>
      </c>
      <c r="D7271" s="3" t="s">
        <v>776</v>
      </c>
      <c r="E7271" s="2" t="b">
        <f t="shared" ca="1" si="204"/>
        <v>1</v>
      </c>
      <c r="F7271" s="2" cm="1">
        <f t="array" aca="1" ref="F7271" ca="1">IF(G7271&lt;&gt;"",INDIRECT("'"&amp;G7271&amp;"'!"&amp;H7271),"")</f>
        <v>0</v>
      </c>
      <c r="G7271" s="1582" t="s">
        <v>6959</v>
      </c>
      <c r="H7271" s="2" t="s">
        <v>4721</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6959</v>
      </c>
      <c r="H7272" s="2" t="s">
        <v>4526</v>
      </c>
      <c r="S7272" s="8"/>
    </row>
    <row r="7273" spans="1:19" x14ac:dyDescent="0.2">
      <c r="A7273">
        <v>7268</v>
      </c>
      <c r="B7273" s="8">
        <f>'CashSum 5'!H36</f>
        <v>0</v>
      </c>
      <c r="C7273" s="605">
        <f t="shared" si="205"/>
        <v>7268</v>
      </c>
      <c r="D7273" s="3" t="s">
        <v>776</v>
      </c>
      <c r="E7273" s="2" t="b">
        <f t="shared" ca="1" si="204"/>
        <v>1</v>
      </c>
      <c r="F7273" s="2" cm="1">
        <f t="array" aca="1" ref="F7273" ca="1">IF(G7273&lt;&gt;"",INDIRECT("'"&amp;G7273&amp;"'!"&amp;H7273),"")</f>
        <v>0</v>
      </c>
      <c r="G7273" s="1582" t="s">
        <v>6959</v>
      </c>
      <c r="H7273" s="2" t="s">
        <v>4527</v>
      </c>
      <c r="S7273" s="8"/>
    </row>
    <row r="7274" spans="1:19" x14ac:dyDescent="0.2">
      <c r="A7274">
        <v>7269</v>
      </c>
      <c r="B7274" s="8">
        <f>'CashSum 5'!H37</f>
        <v>0</v>
      </c>
      <c r="C7274" s="605">
        <f t="shared" si="205"/>
        <v>7269</v>
      </c>
      <c r="D7274" s="3" t="s">
        <v>776</v>
      </c>
      <c r="E7274" s="2" t="b">
        <f t="shared" ca="1" si="204"/>
        <v>1</v>
      </c>
      <c r="F7274" s="2" cm="1">
        <f t="array" aca="1" ref="F7274" ca="1">IF(G7274&lt;&gt;"",INDIRECT("'"&amp;G7274&amp;"'!"&amp;H7274),"")</f>
        <v>0</v>
      </c>
      <c r="G7274" s="1582" t="s">
        <v>6959</v>
      </c>
      <c r="H7274" s="2" t="s">
        <v>4528</v>
      </c>
      <c r="S7274" s="8"/>
    </row>
    <row r="7275" spans="1:19" x14ac:dyDescent="0.2">
      <c r="A7275">
        <v>7270</v>
      </c>
      <c r="B7275" s="8">
        <f>'CashSum 5'!I29</f>
        <v>456568</v>
      </c>
      <c r="C7275" s="605">
        <f t="shared" si="205"/>
        <v>-449298</v>
      </c>
      <c r="D7275" s="3" t="s">
        <v>776</v>
      </c>
      <c r="E7275" s="2" t="b">
        <f t="shared" ca="1" si="204"/>
        <v>1</v>
      </c>
      <c r="F7275" s="2" cm="1">
        <f t="array" aca="1" ref="F7275" ca="1">IF(G7275&lt;&gt;"",INDIRECT("'"&amp;G7275&amp;"'!"&amp;H7275),"")</f>
        <v>456568</v>
      </c>
      <c r="G7275" s="1582" t="s">
        <v>6959</v>
      </c>
      <c r="H7275" s="2" t="s">
        <v>6399</v>
      </c>
      <c r="S7275" s="8"/>
    </row>
    <row r="7276" spans="1:19" x14ac:dyDescent="0.2">
      <c r="A7276">
        <v>7271</v>
      </c>
      <c r="B7276" s="8">
        <f>'CashSum 5'!I30</f>
        <v>41000</v>
      </c>
      <c r="C7276" s="605">
        <f t="shared" si="205"/>
        <v>-33729</v>
      </c>
      <c r="D7276" s="3" t="s">
        <v>776</v>
      </c>
      <c r="E7276" s="2" t="b">
        <f t="shared" ca="1" si="204"/>
        <v>1</v>
      </c>
      <c r="F7276" s="2" cm="1">
        <f t="array" aca="1" ref="F7276" ca="1">IF(G7276&lt;&gt;"",INDIRECT("'"&amp;G7276&amp;"'!"&amp;H7276),"")</f>
        <v>41000</v>
      </c>
      <c r="G7276" s="1582" t="s">
        <v>6959</v>
      </c>
      <c r="H7276" s="2" t="s">
        <v>5110</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6959</v>
      </c>
      <c r="H7277" s="2" t="s">
        <v>6400</v>
      </c>
      <c r="S7277" s="8"/>
    </row>
    <row r="7278" spans="1:19" x14ac:dyDescent="0.2">
      <c r="A7278">
        <v>7273</v>
      </c>
      <c r="B7278" s="8">
        <f>'CashSum 5'!I32</f>
        <v>41000</v>
      </c>
      <c r="C7278" s="605">
        <f t="shared" si="205"/>
        <v>-33727</v>
      </c>
      <c r="D7278" s="3" t="s">
        <v>776</v>
      </c>
      <c r="E7278" s="2" t="b">
        <f t="shared" ca="1" si="204"/>
        <v>1</v>
      </c>
      <c r="F7278" s="2" cm="1">
        <f t="array" aca="1" ref="F7278" ca="1">IF(G7278&lt;&gt;"",INDIRECT("'"&amp;G7278&amp;"'!"&amp;H7278),"")</f>
        <v>41000</v>
      </c>
      <c r="G7278" s="1582" t="s">
        <v>6959</v>
      </c>
      <c r="H7278" s="2" t="s">
        <v>6401</v>
      </c>
      <c r="S7278" s="8"/>
    </row>
    <row r="7279" spans="1:19" x14ac:dyDescent="0.2">
      <c r="A7279">
        <v>7274</v>
      </c>
      <c r="B7279" s="8">
        <f>'CashSum 5'!I33</f>
        <v>497568</v>
      </c>
      <c r="C7279" s="605">
        <f t="shared" si="205"/>
        <v>-490294</v>
      </c>
      <c r="D7279" s="3" t="s">
        <v>776</v>
      </c>
      <c r="E7279" s="2" t="b">
        <f t="shared" ca="1" si="204"/>
        <v>1</v>
      </c>
      <c r="F7279" s="2" cm="1">
        <f t="array" aca="1" ref="F7279" ca="1">IF(G7279&lt;&gt;"",INDIRECT("'"&amp;G7279&amp;"'!"&amp;H7279),"")</f>
        <v>497568</v>
      </c>
      <c r="G7279" s="1582" t="s">
        <v>6959</v>
      </c>
      <c r="H7279" s="2" t="s">
        <v>6402</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6959</v>
      </c>
      <c r="H7280" s="2" t="s">
        <v>5865</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6959</v>
      </c>
      <c r="H7281" s="2" t="s">
        <v>4529</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6959</v>
      </c>
      <c r="H7282" s="2" t="s">
        <v>4530</v>
      </c>
      <c r="S7282" s="8"/>
    </row>
    <row r="7283" spans="1:19" x14ac:dyDescent="0.2">
      <c r="A7283">
        <v>7278</v>
      </c>
      <c r="B7283" s="8">
        <f>'CashSum 5'!I37</f>
        <v>497568</v>
      </c>
      <c r="C7283" s="605">
        <f t="shared" si="205"/>
        <v>-490290</v>
      </c>
      <c r="D7283" s="3" t="s">
        <v>776</v>
      </c>
      <c r="E7283" s="2" t="b">
        <f t="shared" ca="1" si="204"/>
        <v>1</v>
      </c>
      <c r="F7283" s="2" cm="1">
        <f t="array" aca="1" ref="F7283" ca="1">IF(G7283&lt;&gt;"",INDIRECT("'"&amp;G7283&amp;"'!"&amp;H7283),"")</f>
        <v>497568</v>
      </c>
      <c r="G7283" s="1582" t="s">
        <v>6959</v>
      </c>
      <c r="H7283" s="2" t="s">
        <v>4531</v>
      </c>
      <c r="S7283" s="8"/>
    </row>
    <row r="7284" spans="1:19" x14ac:dyDescent="0.2">
      <c r="A7284">
        <v>7279</v>
      </c>
      <c r="B7284" s="8">
        <f>'CashSum 5'!J29</f>
        <v>286639</v>
      </c>
      <c r="C7284" s="605">
        <f t="shared" si="205"/>
        <v>-279360</v>
      </c>
      <c r="D7284" s="3" t="s">
        <v>776</v>
      </c>
      <c r="E7284" s="2" t="b">
        <f t="shared" ca="1" si="204"/>
        <v>1</v>
      </c>
      <c r="F7284" s="2" cm="1">
        <f t="array" aca="1" ref="F7284" ca="1">IF(G7284&lt;&gt;"",INDIRECT("'"&amp;G7284&amp;"'!"&amp;H7284),"")</f>
        <v>286639</v>
      </c>
      <c r="G7284" s="1582" t="s">
        <v>6959</v>
      </c>
      <c r="H7284" s="2" t="s">
        <v>6403</v>
      </c>
      <c r="S7284" s="8"/>
    </row>
    <row r="7285" spans="1:19" x14ac:dyDescent="0.2">
      <c r="A7285">
        <v>7280</v>
      </c>
      <c r="B7285" s="8">
        <f>'CashSum 5'!J30</f>
        <v>149000</v>
      </c>
      <c r="C7285" s="605">
        <f t="shared" si="205"/>
        <v>-141720</v>
      </c>
      <c r="D7285" s="3" t="s">
        <v>776</v>
      </c>
      <c r="E7285" s="2" t="b">
        <f t="shared" ca="1" si="204"/>
        <v>1</v>
      </c>
      <c r="F7285" s="2" cm="1">
        <f t="array" aca="1" ref="F7285" ca="1">IF(G7285&lt;&gt;"",INDIRECT("'"&amp;G7285&amp;"'!"&amp;H7285),"")</f>
        <v>149000</v>
      </c>
      <c r="G7285" s="1582" t="s">
        <v>6959</v>
      </c>
      <c r="H7285" s="2" t="s">
        <v>5736</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6959</v>
      </c>
      <c r="H7286" s="2" t="s">
        <v>6404</v>
      </c>
      <c r="S7286" s="8"/>
    </row>
    <row r="7287" spans="1:19" x14ac:dyDescent="0.2">
      <c r="A7287">
        <v>7282</v>
      </c>
      <c r="B7287" s="8">
        <f>'CashSum 5'!J32</f>
        <v>149000</v>
      </c>
      <c r="C7287" s="605">
        <f t="shared" si="205"/>
        <v>-141718</v>
      </c>
      <c r="D7287" s="3" t="s">
        <v>776</v>
      </c>
      <c r="E7287" s="2" t="b">
        <f t="shared" ca="1" si="204"/>
        <v>1</v>
      </c>
      <c r="F7287" s="2" cm="1">
        <f t="array" aca="1" ref="F7287" ca="1">IF(G7287&lt;&gt;"",INDIRECT("'"&amp;G7287&amp;"'!"&amp;H7287),"")</f>
        <v>149000</v>
      </c>
      <c r="G7287" s="1582" t="s">
        <v>6959</v>
      </c>
      <c r="H7287" s="2" t="s">
        <v>6405</v>
      </c>
      <c r="S7287" s="8"/>
    </row>
    <row r="7288" spans="1:19" x14ac:dyDescent="0.2">
      <c r="A7288">
        <v>7283</v>
      </c>
      <c r="B7288" s="8">
        <f>'CashSum 5'!J33</f>
        <v>435639</v>
      </c>
      <c r="C7288" s="605">
        <f t="shared" si="205"/>
        <v>-428356</v>
      </c>
      <c r="D7288" s="3" t="s">
        <v>776</v>
      </c>
      <c r="E7288" s="2" t="b">
        <f t="shared" ca="1" si="204"/>
        <v>1</v>
      </c>
      <c r="F7288" s="2" cm="1">
        <f t="array" aca="1" ref="F7288" ca="1">IF(G7288&lt;&gt;"",INDIRECT("'"&amp;G7288&amp;"'!"&amp;H7288),"")</f>
        <v>435639</v>
      </c>
      <c r="G7288" s="1582" t="s">
        <v>6959</v>
      </c>
      <c r="H7288" s="2" t="s">
        <v>6406</v>
      </c>
      <c r="S7288" s="8"/>
    </row>
    <row r="7289" spans="1:19" x14ac:dyDescent="0.2">
      <c r="A7289">
        <v>7284</v>
      </c>
      <c r="B7289" s="8">
        <f>'CashSum 5'!J34</f>
        <v>149000</v>
      </c>
      <c r="C7289" s="605">
        <f t="shared" si="205"/>
        <v>-141716</v>
      </c>
      <c r="D7289" s="3" t="s">
        <v>776</v>
      </c>
      <c r="E7289" s="2" t="b">
        <f t="shared" ca="1" si="204"/>
        <v>1</v>
      </c>
      <c r="F7289" s="2" cm="1">
        <f t="array" aca="1" ref="F7289" ca="1">IF(G7289&lt;&gt;"",INDIRECT("'"&amp;G7289&amp;"'!"&amp;H7289),"")</f>
        <v>149000</v>
      </c>
      <c r="G7289" s="1582" t="s">
        <v>6959</v>
      </c>
      <c r="H7289" s="2" t="s">
        <v>5866</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6959</v>
      </c>
      <c r="H7290" s="2" t="s">
        <v>5737</v>
      </c>
      <c r="S7290" s="8"/>
    </row>
    <row r="7291" spans="1:19" x14ac:dyDescent="0.2">
      <c r="A7291">
        <v>7286</v>
      </c>
      <c r="B7291" s="8">
        <f>'CashSum 5'!J36</f>
        <v>149000</v>
      </c>
      <c r="C7291" s="605">
        <f t="shared" si="205"/>
        <v>-141714</v>
      </c>
      <c r="D7291" s="3" t="s">
        <v>776</v>
      </c>
      <c r="E7291" s="2" t="b">
        <f t="shared" ca="1" si="204"/>
        <v>1</v>
      </c>
      <c r="F7291" s="2" cm="1">
        <f t="array" aca="1" ref="F7291" ca="1">IF(G7291&lt;&gt;"",INDIRECT("'"&amp;G7291&amp;"'!"&amp;H7291),"")</f>
        <v>149000</v>
      </c>
      <c r="G7291" s="1582" t="s">
        <v>6959</v>
      </c>
      <c r="H7291" s="2" t="s">
        <v>5738</v>
      </c>
      <c r="S7291" s="8"/>
    </row>
    <row r="7292" spans="1:19" x14ac:dyDescent="0.2">
      <c r="A7292">
        <v>7287</v>
      </c>
      <c r="B7292" s="8">
        <f>'CashSum 5'!J37</f>
        <v>286639</v>
      </c>
      <c r="C7292" s="605">
        <f t="shared" si="205"/>
        <v>-279352</v>
      </c>
      <c r="D7292" s="3" t="s">
        <v>776</v>
      </c>
      <c r="E7292" s="2" t="b">
        <f t="shared" ca="1" si="204"/>
        <v>1</v>
      </c>
      <c r="F7292" s="2" cm="1">
        <f t="array" aca="1" ref="F7292" ca="1">IF(G7292&lt;&gt;"",INDIRECT("'"&amp;G7292&amp;"'!"&amp;H7292),"")</f>
        <v>286639</v>
      </c>
      <c r="G7292" s="1582" t="s">
        <v>6959</v>
      </c>
      <c r="H7292" s="2" t="s">
        <v>5739</v>
      </c>
      <c r="S7292" s="8"/>
    </row>
    <row r="7293" spans="1:19" x14ac:dyDescent="0.2">
      <c r="A7293">
        <v>7288</v>
      </c>
      <c r="B7293" s="8">
        <f>'CashSum 5'!K29</f>
        <v>22687</v>
      </c>
      <c r="C7293" s="605">
        <f t="shared" si="205"/>
        <v>-15399</v>
      </c>
      <c r="D7293" s="3" t="s">
        <v>776</v>
      </c>
      <c r="E7293" s="2" t="b">
        <f t="shared" ca="1" si="204"/>
        <v>1</v>
      </c>
      <c r="F7293" s="2" cm="1">
        <f t="array" aca="1" ref="F7293" ca="1">IF(G7293&lt;&gt;"",INDIRECT("'"&amp;G7293&amp;"'!"&amp;H7293),"")</f>
        <v>22687</v>
      </c>
      <c r="G7293" s="1582" t="s">
        <v>6959</v>
      </c>
      <c r="H7293" s="2" t="s">
        <v>5860</v>
      </c>
      <c r="S7293" s="8"/>
    </row>
    <row r="7294" spans="1:19" x14ac:dyDescent="0.2">
      <c r="A7294">
        <v>7289</v>
      </c>
      <c r="B7294" s="8">
        <f>'CashSum 5'!K30</f>
        <v>0</v>
      </c>
      <c r="C7294" s="605">
        <f t="shared" si="205"/>
        <v>7289</v>
      </c>
      <c r="D7294" s="3" t="s">
        <v>776</v>
      </c>
      <c r="E7294" s="2" t="b">
        <f t="shared" ca="1" si="204"/>
        <v>1</v>
      </c>
      <c r="F7294" s="2" cm="1">
        <f t="array" aca="1" ref="F7294" ca="1">IF(G7294&lt;&gt;"",INDIRECT("'"&amp;G7294&amp;"'!"&amp;H7294),"")</f>
        <v>0</v>
      </c>
      <c r="G7294" s="1582" t="s">
        <v>6959</v>
      </c>
      <c r="H7294" s="2" t="s">
        <v>5263</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6959</v>
      </c>
      <c r="H7295" s="2" t="s">
        <v>5862</v>
      </c>
      <c r="S7295" s="8"/>
    </row>
    <row r="7296" spans="1:19" x14ac:dyDescent="0.2">
      <c r="A7296">
        <v>7291</v>
      </c>
      <c r="B7296" s="8">
        <f>'CashSum 5'!K32</f>
        <v>0</v>
      </c>
      <c r="C7296" s="605">
        <f t="shared" si="205"/>
        <v>7291</v>
      </c>
      <c r="D7296" s="3" t="s">
        <v>776</v>
      </c>
      <c r="E7296" s="2" t="b">
        <f t="shared" ca="1" si="204"/>
        <v>1</v>
      </c>
      <c r="F7296" s="2" cm="1">
        <f t="array" aca="1" ref="F7296" ca="1">IF(G7296&lt;&gt;"",INDIRECT("'"&amp;G7296&amp;"'!"&amp;H7296),"")</f>
        <v>0</v>
      </c>
      <c r="G7296" s="1582" t="s">
        <v>6959</v>
      </c>
      <c r="H7296" s="2" t="s">
        <v>5864</v>
      </c>
      <c r="S7296" s="8"/>
    </row>
    <row r="7297" spans="1:19" x14ac:dyDescent="0.2">
      <c r="A7297">
        <v>7292</v>
      </c>
      <c r="B7297" s="8">
        <f>'CashSum 5'!K33</f>
        <v>22687</v>
      </c>
      <c r="C7297" s="605">
        <f t="shared" si="205"/>
        <v>-15395</v>
      </c>
      <c r="D7297" s="3" t="s">
        <v>776</v>
      </c>
      <c r="E7297" s="2" t="b">
        <f t="shared" ca="1" si="204"/>
        <v>1</v>
      </c>
      <c r="F7297" s="2" cm="1">
        <f t="array" aca="1" ref="F7297" ca="1">IF(G7297&lt;&gt;"",INDIRECT("'"&amp;G7297&amp;"'!"&amp;H7297),"")</f>
        <v>22687</v>
      </c>
      <c r="G7297" s="1582" t="s">
        <v>6959</v>
      </c>
      <c r="H7297" s="2" t="s">
        <v>6407</v>
      </c>
      <c r="S7297" s="8"/>
    </row>
    <row r="7298" spans="1:19" x14ac:dyDescent="0.2">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6959</v>
      </c>
      <c r="H7298" s="2" t="s">
        <v>4764</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6959</v>
      </c>
      <c r="H7299" s="2" t="s">
        <v>5264</v>
      </c>
      <c r="S7299" s="8"/>
    </row>
    <row r="7300" spans="1:19" x14ac:dyDescent="0.2">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6959</v>
      </c>
      <c r="H7300" s="2" t="s">
        <v>5265</v>
      </c>
      <c r="S7300" s="8"/>
    </row>
    <row r="7301" spans="1:19" x14ac:dyDescent="0.2">
      <c r="A7301">
        <v>7296</v>
      </c>
      <c r="B7301" s="8">
        <f>'CashSum 5'!K37</f>
        <v>22687</v>
      </c>
      <c r="C7301" s="605">
        <f t="shared" si="207"/>
        <v>-15391</v>
      </c>
      <c r="D7301" s="3" t="s">
        <v>776</v>
      </c>
      <c r="E7301" s="2" t="b">
        <f t="shared" ca="1" si="206"/>
        <v>1</v>
      </c>
      <c r="F7301" s="2" cm="1">
        <f t="array" aca="1" ref="F7301" ca="1">IF(G7301&lt;&gt;"",INDIRECT("'"&amp;G7301&amp;"'!"&amp;H7301),"")</f>
        <v>22687</v>
      </c>
      <c r="G7301" s="1582" t="s">
        <v>6959</v>
      </c>
      <c r="H7301" s="2" t="s">
        <v>5266</v>
      </c>
      <c r="S7301" s="8"/>
    </row>
    <row r="7302" spans="1:19" x14ac:dyDescent="0.2">
      <c r="A7302">
        <v>7297</v>
      </c>
      <c r="B7302" s="8">
        <f>'EstRev 6-11'!C82</f>
        <v>0</v>
      </c>
      <c r="C7302" s="605">
        <f t="shared" si="207"/>
        <v>7297</v>
      </c>
      <c r="D7302" s="3" t="s">
        <v>777</v>
      </c>
      <c r="E7302" s="2" t="b">
        <f t="shared" ca="1" si="206"/>
        <v>1</v>
      </c>
      <c r="F7302" s="2" cm="1">
        <f t="array" aca="1" ref="F7302" ca="1">IF(G7302&lt;&gt;"",INDIRECT("'"&amp;G7302&amp;"'!"&amp;H7302),"")</f>
        <v>0</v>
      </c>
      <c r="G7302" s="1582" t="s">
        <v>6961</v>
      </c>
      <c r="H7302" s="2" t="s">
        <v>6408</v>
      </c>
      <c r="S7302" s="8"/>
    </row>
    <row r="7303" spans="1:19" x14ac:dyDescent="0.2">
      <c r="A7303">
        <v>7298</v>
      </c>
      <c r="B7303" s="8">
        <f>'EstRev 6-11'!C84</f>
        <v>25500</v>
      </c>
      <c r="C7303" s="605">
        <f t="shared" si="207"/>
        <v>-18202</v>
      </c>
      <c r="D7303" s="3" t="s">
        <v>777</v>
      </c>
      <c r="E7303" s="2" t="b">
        <f t="shared" ca="1" si="206"/>
        <v>1</v>
      </c>
      <c r="F7303" s="2" cm="1">
        <f t="array" aca="1" ref="F7303" ca="1">IF(G7303&lt;&gt;"",INDIRECT("'"&amp;G7303&amp;"'!"&amp;H7303),"")</f>
        <v>25500</v>
      </c>
      <c r="G7303" s="1582" t="s">
        <v>6961</v>
      </c>
      <c r="H7303" s="2" t="s">
        <v>6409</v>
      </c>
      <c r="S7303" s="8"/>
    </row>
    <row r="7304" spans="1:19" x14ac:dyDescent="0.2">
      <c r="A7304">
        <v>7299</v>
      </c>
      <c r="B7304" s="8">
        <f>'EstRev 6-11'!C112</f>
        <v>4133500</v>
      </c>
      <c r="C7304" s="605">
        <f t="shared" si="207"/>
        <v>-4126201</v>
      </c>
      <c r="D7304" s="3" t="s">
        <v>777</v>
      </c>
      <c r="E7304" s="2" t="b">
        <f t="shared" ca="1" si="206"/>
        <v>1</v>
      </c>
      <c r="F7304" s="2" cm="1">
        <f t="array" aca="1" ref="F7304" ca="1">IF(G7304&lt;&gt;"",INDIRECT("'"&amp;G7304&amp;"'!"&amp;H7304),"")</f>
        <v>4133500</v>
      </c>
      <c r="G7304" s="1582" t="s">
        <v>6961</v>
      </c>
      <c r="H7304" s="2" t="s">
        <v>6410</v>
      </c>
      <c r="S7304" s="8"/>
    </row>
    <row r="7305" spans="1:19" x14ac:dyDescent="0.2">
      <c r="A7305">
        <v>7300</v>
      </c>
      <c r="B7305" s="8">
        <f>'EstExp 12-20'!H33</f>
        <v>0</v>
      </c>
      <c r="C7305" s="605">
        <f t="shared" si="207"/>
        <v>7300</v>
      </c>
      <c r="D7305" s="3" t="s">
        <v>786</v>
      </c>
      <c r="E7305" s="2" t="b">
        <f t="shared" ca="1" si="206"/>
        <v>1</v>
      </c>
      <c r="F7305" s="2" cm="1">
        <f t="array" aca="1" ref="F7305" ca="1">IF(G7305&lt;&gt;"",INDIRECT("'"&amp;G7305&amp;"'!"&amp;H7305),"")</f>
        <v>0</v>
      </c>
      <c r="G7305" s="1582" t="s">
        <v>6960</v>
      </c>
      <c r="H7305" s="2" t="s">
        <v>6398</v>
      </c>
      <c r="S7305" s="8"/>
    </row>
    <row r="7306" spans="1:19" x14ac:dyDescent="0.2">
      <c r="A7306">
        <v>7301</v>
      </c>
      <c r="B7306" s="8">
        <f>'EstExp 12-20'!K33</f>
        <v>0</v>
      </c>
      <c r="C7306" s="605">
        <f t="shared" si="207"/>
        <v>7301</v>
      </c>
      <c r="D7306" s="3" t="s">
        <v>786</v>
      </c>
      <c r="E7306" s="2" t="b">
        <f t="shared" ca="1" si="206"/>
        <v>1</v>
      </c>
      <c r="F7306" s="2" cm="1">
        <f t="array" aca="1" ref="F7306" ca="1">IF(G7306&lt;&gt;"",INDIRECT("'"&amp;G7306&amp;"'!"&amp;H7306),"")</f>
        <v>0</v>
      </c>
      <c r="G7306" s="1582" t="s">
        <v>6960</v>
      </c>
      <c r="H7306" s="2" t="s">
        <v>6407</v>
      </c>
      <c r="S7306" s="8"/>
    </row>
    <row r="7307" spans="1:19" x14ac:dyDescent="0.2">
      <c r="A7307">
        <v>7302</v>
      </c>
      <c r="B7307" s="8">
        <f>'EstExp 12-20'!C35</f>
        <v>2305300</v>
      </c>
      <c r="C7307" s="605">
        <f t="shared" si="207"/>
        <v>-2297998</v>
      </c>
      <c r="D7307" s="3" t="s">
        <v>786</v>
      </c>
      <c r="E7307" s="2" t="b">
        <f t="shared" ca="1" si="206"/>
        <v>1</v>
      </c>
      <c r="F7307" s="2" cm="1">
        <f t="array" aca="1" ref="F7307" ca="1">IF(G7307&lt;&gt;"",INDIRECT("'"&amp;G7307&amp;"'!"&amp;H7307),"")</f>
        <v>2305300</v>
      </c>
      <c r="G7307" s="1582" t="s">
        <v>6960</v>
      </c>
      <c r="H7307" s="2" t="s">
        <v>4520</v>
      </c>
      <c r="S7307" s="8"/>
    </row>
    <row r="7308" spans="1:19" x14ac:dyDescent="0.2">
      <c r="A7308">
        <v>7303</v>
      </c>
      <c r="B7308" s="8">
        <f>'EstExp 12-20'!D35</f>
        <v>461450</v>
      </c>
      <c r="C7308" s="605">
        <f t="shared" si="207"/>
        <v>-454147</v>
      </c>
      <c r="D7308" s="3" t="s">
        <v>786</v>
      </c>
      <c r="E7308" s="2" t="b">
        <f t="shared" ca="1" si="206"/>
        <v>1</v>
      </c>
      <c r="F7308" s="2" cm="1">
        <f t="array" aca="1" ref="F7308" ca="1">IF(G7308&lt;&gt;"",INDIRECT("'"&amp;G7308&amp;"'!"&amp;H7308),"")</f>
        <v>461450</v>
      </c>
      <c r="G7308" s="1582" t="s">
        <v>6960</v>
      </c>
      <c r="H7308" s="2" t="s">
        <v>5197</v>
      </c>
      <c r="S7308" s="8"/>
    </row>
    <row r="7309" spans="1:19" x14ac:dyDescent="0.2">
      <c r="A7309">
        <v>7304</v>
      </c>
      <c r="B7309" s="8">
        <f>'EstExp 12-20'!E35</f>
        <v>236600</v>
      </c>
      <c r="C7309" s="605">
        <f t="shared" si="207"/>
        <v>-229296</v>
      </c>
      <c r="D7309" s="3" t="s">
        <v>786</v>
      </c>
      <c r="E7309" s="2" t="b">
        <f t="shared" ca="1" si="206"/>
        <v>1</v>
      </c>
      <c r="F7309" s="2" cm="1">
        <f t="array" aca="1" ref="F7309" ca="1">IF(G7309&lt;&gt;"",INDIRECT("'"&amp;G7309&amp;"'!"&amp;H7309),"")</f>
        <v>236600</v>
      </c>
      <c r="G7309" s="1582" t="s">
        <v>6960</v>
      </c>
      <c r="H7309" s="2" t="s">
        <v>5200</v>
      </c>
      <c r="S7309" s="8"/>
    </row>
    <row r="7310" spans="1:19" x14ac:dyDescent="0.2">
      <c r="A7310">
        <v>7305</v>
      </c>
      <c r="B7310" s="8">
        <f>'EstExp 12-20'!F35</f>
        <v>133700</v>
      </c>
      <c r="C7310" s="605">
        <f t="shared" si="207"/>
        <v>-126395</v>
      </c>
      <c r="D7310" s="3" t="s">
        <v>786</v>
      </c>
      <c r="E7310" s="2" t="b">
        <f t="shared" ca="1" si="206"/>
        <v>1</v>
      </c>
      <c r="F7310" s="2" cm="1">
        <f t="array" aca="1" ref="F7310" ca="1">IF(G7310&lt;&gt;"",INDIRECT("'"&amp;G7310&amp;"'!"&amp;H7310),"")</f>
        <v>133700</v>
      </c>
      <c r="G7310" s="1582" t="s">
        <v>6960</v>
      </c>
      <c r="H7310" s="2" t="s">
        <v>5201</v>
      </c>
      <c r="S7310" s="8"/>
    </row>
    <row r="7311" spans="1:19" x14ac:dyDescent="0.2">
      <c r="A7311">
        <v>7306</v>
      </c>
      <c r="B7311" s="8">
        <f>'EstExp 12-20'!G35</f>
        <v>41100</v>
      </c>
      <c r="C7311" s="605">
        <f t="shared" si="207"/>
        <v>-33794</v>
      </c>
      <c r="D7311" s="3" t="s">
        <v>786</v>
      </c>
      <c r="E7311" s="2" t="b">
        <f t="shared" ca="1" si="206"/>
        <v>1</v>
      </c>
      <c r="F7311" s="2" cm="1">
        <f t="array" aca="1" ref="F7311" ca="1">IF(G7311&lt;&gt;"",INDIRECT("'"&amp;G7311&amp;"'!"&amp;H7311),"")</f>
        <v>41100</v>
      </c>
      <c r="G7311" s="1582" t="s">
        <v>6960</v>
      </c>
      <c r="H7311" s="2" t="s">
        <v>6395</v>
      </c>
      <c r="S7311" s="8"/>
    </row>
    <row r="7312" spans="1:19" x14ac:dyDescent="0.2">
      <c r="A7312">
        <v>7307</v>
      </c>
      <c r="B7312" s="8">
        <f>'EstExp 12-20'!H35</f>
        <v>13200</v>
      </c>
      <c r="C7312" s="605">
        <f t="shared" si="207"/>
        <v>-5893</v>
      </c>
      <c r="D7312" s="3" t="s">
        <v>786</v>
      </c>
      <c r="E7312" s="2" t="b">
        <f t="shared" ca="1" si="206"/>
        <v>1</v>
      </c>
      <c r="F7312" s="2" cm="1">
        <f t="array" aca="1" ref="F7312" ca="1">IF(G7312&lt;&gt;"",INDIRECT("'"&amp;G7312&amp;"'!"&amp;H7312),"")</f>
        <v>13200</v>
      </c>
      <c r="G7312" s="1582" t="s">
        <v>6960</v>
      </c>
      <c r="H7312" s="2" t="s">
        <v>4526</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6960</v>
      </c>
      <c r="H7313" s="2" t="s">
        <v>4529</v>
      </c>
      <c r="S7313" s="8"/>
    </row>
    <row r="7314" spans="1:19" x14ac:dyDescent="0.2">
      <c r="A7314">
        <v>7309</v>
      </c>
      <c r="B7314" s="8">
        <f>'EstExp 12-20'!K35</f>
        <v>3191350</v>
      </c>
      <c r="C7314" s="605">
        <f t="shared" si="207"/>
        <v>-3184041</v>
      </c>
      <c r="D7314" s="3" t="s">
        <v>786</v>
      </c>
      <c r="E7314" s="2" t="b">
        <f t="shared" ca="1" si="206"/>
        <v>1</v>
      </c>
      <c r="F7314" s="2" cm="1">
        <f t="array" aca="1" ref="F7314" ca="1">IF(G7314&lt;&gt;"",INDIRECT("'"&amp;G7314&amp;"'!"&amp;H7314),"")</f>
        <v>3191350</v>
      </c>
      <c r="G7314" s="1582" t="s">
        <v>6960</v>
      </c>
      <c r="H7314" s="2" t="s">
        <v>5264</v>
      </c>
      <c r="S7314" s="8"/>
    </row>
    <row r="7315" spans="1:19" x14ac:dyDescent="0.2">
      <c r="A7315">
        <v>7310</v>
      </c>
      <c r="B7315" s="8">
        <f>'EstExp 12-20'!C117</f>
        <v>3390050</v>
      </c>
      <c r="C7315" s="605">
        <f t="shared" si="207"/>
        <v>-3382740</v>
      </c>
      <c r="D7315" s="3" t="s">
        <v>786</v>
      </c>
      <c r="E7315" s="2" t="b">
        <f t="shared" ca="1" si="206"/>
        <v>1</v>
      </c>
      <c r="F7315" s="2" cm="1">
        <f t="array" aca="1" ref="F7315" ca="1">IF(G7315&lt;&gt;"",INDIRECT("'"&amp;G7315&amp;"'!"&amp;H7315),"")</f>
        <v>3390050</v>
      </c>
      <c r="G7315" s="1582" t="s">
        <v>6960</v>
      </c>
      <c r="H7315" s="2" t="s">
        <v>5507</v>
      </c>
      <c r="S7315" s="8"/>
    </row>
    <row r="7316" spans="1:19" x14ac:dyDescent="0.2">
      <c r="A7316">
        <v>7311</v>
      </c>
      <c r="B7316" s="8">
        <f>'EstExp 12-20'!D117</f>
        <v>631050</v>
      </c>
      <c r="C7316" s="605">
        <f t="shared" si="207"/>
        <v>-623739</v>
      </c>
      <c r="D7316" s="3" t="s">
        <v>786</v>
      </c>
      <c r="E7316" s="2" t="b">
        <f t="shared" ca="1" si="206"/>
        <v>1</v>
      </c>
      <c r="F7316" s="2" cm="1">
        <f t="array" aca="1" ref="F7316" ca="1">IF(G7316&lt;&gt;"",INDIRECT("'"&amp;G7316&amp;"'!"&amp;H7316),"")</f>
        <v>631050</v>
      </c>
      <c r="G7316" s="1582" t="s">
        <v>6960</v>
      </c>
      <c r="H7316" s="2" t="s">
        <v>5570</v>
      </c>
      <c r="S7316" s="8"/>
    </row>
    <row r="7317" spans="1:19" x14ac:dyDescent="0.2">
      <c r="A7317">
        <v>7312</v>
      </c>
      <c r="B7317" s="8">
        <f>'EstExp 12-20'!E117</f>
        <v>417300</v>
      </c>
      <c r="C7317" s="605">
        <f t="shared" si="207"/>
        <v>-409988</v>
      </c>
      <c r="D7317" s="3" t="s">
        <v>786</v>
      </c>
      <c r="E7317" s="2" t="b">
        <f t="shared" ca="1" si="206"/>
        <v>1</v>
      </c>
      <c r="F7317" s="2" cm="1">
        <f t="array" aca="1" ref="F7317" ca="1">IF(G7317&lt;&gt;"",INDIRECT("'"&amp;G7317&amp;"'!"&amp;H7317),"")</f>
        <v>417300</v>
      </c>
      <c r="G7317" s="1582" t="s">
        <v>6960</v>
      </c>
      <c r="H7317" s="2" t="s">
        <v>6337</v>
      </c>
      <c r="S7317" s="8"/>
    </row>
    <row r="7318" spans="1:19" x14ac:dyDescent="0.2">
      <c r="A7318">
        <v>7313</v>
      </c>
      <c r="B7318" s="8">
        <f>'EstExp 12-20'!F117</f>
        <v>219300</v>
      </c>
      <c r="C7318" s="605">
        <f t="shared" si="207"/>
        <v>-211987</v>
      </c>
      <c r="D7318" s="3" t="s">
        <v>786</v>
      </c>
      <c r="E7318" s="2" t="b">
        <f t="shared" ca="1" si="206"/>
        <v>1</v>
      </c>
      <c r="F7318" s="2" cm="1">
        <f t="array" aca="1" ref="F7318" ca="1">IF(G7318&lt;&gt;"",INDIRECT("'"&amp;G7318&amp;"'!"&amp;H7318),"")</f>
        <v>219300</v>
      </c>
      <c r="G7318" s="1582" t="s">
        <v>6960</v>
      </c>
      <c r="H7318" s="2" t="s">
        <v>5622</v>
      </c>
      <c r="S7318" s="8"/>
    </row>
    <row r="7319" spans="1:19" x14ac:dyDescent="0.2">
      <c r="A7319">
        <v>7314</v>
      </c>
      <c r="B7319" s="8">
        <f>'EstExp 12-20'!G117</f>
        <v>56300</v>
      </c>
      <c r="C7319" s="605">
        <f t="shared" si="207"/>
        <v>-48986</v>
      </c>
      <c r="D7319" s="3" t="s">
        <v>786</v>
      </c>
      <c r="E7319" s="2" t="b">
        <f t="shared" ca="1" si="206"/>
        <v>1</v>
      </c>
      <c r="F7319" s="2" cm="1">
        <f t="array" aca="1" ref="F7319" ca="1">IF(G7319&lt;&gt;"",INDIRECT("'"&amp;G7319&amp;"'!"&amp;H7319),"")</f>
        <v>56300</v>
      </c>
      <c r="G7319" s="1582" t="s">
        <v>6960</v>
      </c>
      <c r="H7319" s="2" t="s">
        <v>5658</v>
      </c>
      <c r="S7319" s="8"/>
    </row>
    <row r="7320" spans="1:19" x14ac:dyDescent="0.2">
      <c r="A7320">
        <v>7315</v>
      </c>
      <c r="B7320" s="8">
        <f>'EstExp 12-20'!H117</f>
        <v>772500</v>
      </c>
      <c r="C7320" s="605">
        <f t="shared" si="207"/>
        <v>-765185</v>
      </c>
      <c r="D7320" s="3" t="s">
        <v>786</v>
      </c>
      <c r="E7320" s="2" t="b">
        <f t="shared" ca="1" si="206"/>
        <v>1</v>
      </c>
      <c r="F7320" s="2" cm="1">
        <f t="array" aca="1" ref="F7320" ca="1">IF(G7320&lt;&gt;"",INDIRECT("'"&amp;G7320&amp;"'!"&amp;H7320),"")</f>
        <v>772500</v>
      </c>
      <c r="G7320" s="1582" t="s">
        <v>6960</v>
      </c>
      <c r="H7320" s="2" t="s">
        <v>6361</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6960</v>
      </c>
      <c r="H7321" s="2" t="s">
        <v>6369</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6960</v>
      </c>
      <c r="H7322" s="2" t="s">
        <v>6379</v>
      </c>
      <c r="S7322" s="8"/>
    </row>
    <row r="7323" spans="1:19" x14ac:dyDescent="0.2">
      <c r="A7323">
        <v>7318</v>
      </c>
      <c r="B7323" s="8">
        <f>'EstExp 12-20'!K117</f>
        <v>5486500</v>
      </c>
      <c r="C7323" s="605">
        <f t="shared" si="207"/>
        <v>-5479182</v>
      </c>
      <c r="D7323" s="3" t="s">
        <v>786</v>
      </c>
      <c r="E7323" s="2" t="b">
        <f t="shared" ca="1" si="206"/>
        <v>1</v>
      </c>
      <c r="F7323" s="2" cm="1">
        <f t="array" aca="1" ref="F7323" ca="1">IF(G7323&lt;&gt;"",INDIRECT("'"&amp;G7323&amp;"'!"&amp;H7323),"")</f>
        <v>5486500</v>
      </c>
      <c r="G7323" s="1582" t="s">
        <v>6960</v>
      </c>
      <c r="H7323" s="2" t="s">
        <v>6383</v>
      </c>
      <c r="S7323" s="8"/>
    </row>
    <row r="7324" spans="1:19" x14ac:dyDescent="0.2">
      <c r="A7324">
        <v>7319</v>
      </c>
      <c r="B7324" s="8">
        <f>'EstExp 12-20'!K119</f>
        <v>0</v>
      </c>
      <c r="C7324" s="605">
        <f t="shared" si="207"/>
        <v>7319</v>
      </c>
      <c r="D7324" s="3" t="s">
        <v>786</v>
      </c>
      <c r="E7324" s="2" t="b">
        <f t="shared" ca="1" si="206"/>
        <v>1</v>
      </c>
      <c r="F7324" s="2" cm="1">
        <f t="array" aca="1" ref="F7324" ca="1">IF(G7324&lt;&gt;"",INDIRECT("'"&amp;G7324&amp;"'!"&amp;H7324),"")</f>
        <v>0</v>
      </c>
      <c r="G7324" s="1582" t="s">
        <v>6960</v>
      </c>
      <c r="H7324" s="2" t="s">
        <v>6411</v>
      </c>
      <c r="S7324" s="8"/>
    </row>
    <row r="7325" spans="1:19" x14ac:dyDescent="0.2">
      <c r="A7325">
        <v>7320</v>
      </c>
      <c r="B7325" s="8">
        <f>'EstExp 12-20'!C316</f>
        <v>0</v>
      </c>
      <c r="C7325" s="605">
        <f t="shared" si="207"/>
        <v>7320</v>
      </c>
      <c r="D7325" s="3" t="s">
        <v>786</v>
      </c>
      <c r="E7325" s="2" t="b">
        <f t="shared" ca="1" si="206"/>
        <v>1</v>
      </c>
      <c r="F7325" s="2" cm="1">
        <f t="array" aca="1" ref="F7325" ca="1">IF(G7325&lt;&gt;"",INDIRECT("'"&amp;G7325&amp;"'!"&amp;H7325),"")</f>
        <v>0</v>
      </c>
      <c r="G7325" s="1582" t="s">
        <v>6960</v>
      </c>
      <c r="H7325" s="2" t="s">
        <v>6412</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6960</v>
      </c>
      <c r="H7326" s="2" t="s">
        <v>6413</v>
      </c>
      <c r="S7326" s="8"/>
    </row>
    <row r="7327" spans="1:19" x14ac:dyDescent="0.2">
      <c r="A7327">
        <v>7322</v>
      </c>
      <c r="B7327" s="8">
        <f>'EstExp 12-20'!C319</f>
        <v>0</v>
      </c>
      <c r="C7327" s="605">
        <f t="shared" si="207"/>
        <v>7322</v>
      </c>
      <c r="D7327" s="3" t="s">
        <v>786</v>
      </c>
      <c r="E7327" s="2" t="b">
        <f t="shared" ca="1" si="206"/>
        <v>1</v>
      </c>
      <c r="F7327" s="2" cm="1">
        <f t="array" aca="1" ref="F7327" ca="1">IF(G7327&lt;&gt;"",INDIRECT("'"&amp;G7327&amp;"'!"&amp;H7327),"")</f>
        <v>0</v>
      </c>
      <c r="G7327" s="1582" t="s">
        <v>6960</v>
      </c>
      <c r="H7327" s="2" t="s">
        <v>6414</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6960</v>
      </c>
      <c r="H7328" s="2" t="s">
        <v>6415</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6960</v>
      </c>
      <c r="H7329" s="2" t="s">
        <v>6416</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6960</v>
      </c>
      <c r="H7330" s="2" t="s">
        <v>6417</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6960</v>
      </c>
      <c r="H7331" s="2" t="s">
        <v>6418</v>
      </c>
      <c r="S7331" s="8"/>
    </row>
    <row r="7332" spans="1:19" x14ac:dyDescent="0.2">
      <c r="A7332">
        <v>7327</v>
      </c>
      <c r="B7332" s="8">
        <f>'EstExp 12-20'!C324</f>
        <v>0</v>
      </c>
      <c r="C7332" s="605">
        <f t="shared" si="207"/>
        <v>7327</v>
      </c>
      <c r="D7332" s="3" t="s">
        <v>786</v>
      </c>
      <c r="E7332" s="2" t="b">
        <f t="shared" ca="1" si="206"/>
        <v>1</v>
      </c>
      <c r="F7332" s="2" cm="1">
        <f t="array" aca="1" ref="F7332" ca="1">IF(G7332&lt;&gt;"",INDIRECT("'"&amp;G7332&amp;"'!"&amp;H7332),"")</f>
        <v>0</v>
      </c>
      <c r="G7332" s="1582" t="s">
        <v>6960</v>
      </c>
      <c r="H7332" s="2" t="s">
        <v>6419</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6960</v>
      </c>
      <c r="H7333" s="2" t="s">
        <v>6420</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6960</v>
      </c>
      <c r="H7334" s="2" t="s">
        <v>6421</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6960</v>
      </c>
      <c r="H7335" s="2" t="s">
        <v>6422</v>
      </c>
      <c r="S7335" s="8"/>
    </row>
    <row r="7336" spans="1:19" x14ac:dyDescent="0.2">
      <c r="A7336">
        <v>7331</v>
      </c>
      <c r="B7336" s="8">
        <f>'EstExp 12-20'!C328</f>
        <v>0</v>
      </c>
      <c r="C7336" s="605">
        <f t="shared" si="207"/>
        <v>7331</v>
      </c>
      <c r="D7336" s="3" t="s">
        <v>786</v>
      </c>
      <c r="E7336" s="2" t="b">
        <f t="shared" ca="1" si="206"/>
        <v>1</v>
      </c>
      <c r="F7336" s="2" cm="1">
        <f t="array" aca="1" ref="F7336" ca="1">IF(G7336&lt;&gt;"",INDIRECT("'"&amp;G7336&amp;"'!"&amp;H7336),"")</f>
        <v>0</v>
      </c>
      <c r="G7336" s="1582" t="s">
        <v>6960</v>
      </c>
      <c r="H7336" s="2" t="s">
        <v>6423</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6960</v>
      </c>
      <c r="H7337" s="2" t="s">
        <v>6424</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6960</v>
      </c>
      <c r="H7338" s="2" t="s">
        <v>6425</v>
      </c>
      <c r="S7338" s="8"/>
    </row>
    <row r="7339" spans="1:19" x14ac:dyDescent="0.2">
      <c r="A7339">
        <v>7334</v>
      </c>
      <c r="B7339" s="8">
        <f>'EstExp 12-20'!C344</f>
        <v>0</v>
      </c>
      <c r="C7339" s="605">
        <f t="shared" si="207"/>
        <v>7334</v>
      </c>
      <c r="D7339" s="3" t="s">
        <v>786</v>
      </c>
      <c r="E7339" s="2" t="b">
        <f t="shared" ca="1" si="206"/>
        <v>1</v>
      </c>
      <c r="F7339" s="2" cm="1">
        <f t="array" aca="1" ref="F7339" ca="1">IF(G7339&lt;&gt;"",INDIRECT("'"&amp;G7339&amp;"'!"&amp;H7339),"")</f>
        <v>0</v>
      </c>
      <c r="G7339" s="1582" t="s">
        <v>6960</v>
      </c>
      <c r="H7339" s="2" t="s">
        <v>6426</v>
      </c>
      <c r="S7339" s="8"/>
    </row>
    <row r="7340" spans="1:19" x14ac:dyDescent="0.2">
      <c r="A7340">
        <v>7335</v>
      </c>
      <c r="B7340" s="8">
        <f>'EstExp 12-20'!C347</f>
        <v>0</v>
      </c>
      <c r="C7340" s="605">
        <f t="shared" si="207"/>
        <v>7335</v>
      </c>
      <c r="D7340" s="3" t="s">
        <v>786</v>
      </c>
      <c r="E7340" s="2" t="b">
        <f t="shared" ca="1" si="206"/>
        <v>1</v>
      </c>
      <c r="F7340" s="2" cm="1">
        <f t="array" aca="1" ref="F7340" ca="1">IF(G7340&lt;&gt;"",INDIRECT("'"&amp;G7340&amp;"'!"&amp;H7340),"")</f>
        <v>0</v>
      </c>
      <c r="G7340" s="1582" t="s">
        <v>6960</v>
      </c>
      <c r="H7340" s="2" t="s">
        <v>6427</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6960</v>
      </c>
      <c r="H7341" s="2" t="s">
        <v>6428</v>
      </c>
      <c r="S7341" s="8"/>
    </row>
    <row r="7342" spans="1:19" x14ac:dyDescent="0.2">
      <c r="A7342">
        <v>7337</v>
      </c>
      <c r="B7342" s="8">
        <f>'EstExp 12-20'!C349</f>
        <v>0</v>
      </c>
      <c r="C7342" s="605">
        <f t="shared" si="207"/>
        <v>7337</v>
      </c>
      <c r="D7342" s="3" t="s">
        <v>786</v>
      </c>
      <c r="E7342" s="2" t="b">
        <f t="shared" ca="1" si="206"/>
        <v>1</v>
      </c>
      <c r="F7342" s="2" cm="1">
        <f t="array" aca="1" ref="F7342" ca="1">IF(G7342&lt;&gt;"",INDIRECT("'"&amp;G7342&amp;"'!"&amp;H7342),"")</f>
        <v>0</v>
      </c>
      <c r="G7342" s="1582" t="s">
        <v>6960</v>
      </c>
      <c r="H7342" s="2" t="s">
        <v>6429</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6960</v>
      </c>
      <c r="H7343" s="2" t="s">
        <v>6430</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6960</v>
      </c>
      <c r="H7344" s="2" t="s">
        <v>6431</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6960</v>
      </c>
      <c r="H7345" s="2" t="s">
        <v>6432</v>
      </c>
      <c r="S7345" s="8"/>
    </row>
    <row r="7346" spans="1:19" x14ac:dyDescent="0.2">
      <c r="A7346">
        <v>7341</v>
      </c>
      <c r="B7346" s="8">
        <f>'EstExp 12-20'!C353</f>
        <v>0</v>
      </c>
      <c r="C7346" s="605">
        <f t="shared" si="207"/>
        <v>7341</v>
      </c>
      <c r="D7346" s="3" t="s">
        <v>786</v>
      </c>
      <c r="E7346" s="2" t="b">
        <f t="shared" ca="1" si="206"/>
        <v>1</v>
      </c>
      <c r="F7346" s="2" cm="1">
        <f t="array" aca="1" ref="F7346" ca="1">IF(G7346&lt;&gt;"",INDIRECT("'"&amp;G7346&amp;"'!"&amp;H7346),"")</f>
        <v>0</v>
      </c>
      <c r="G7346" s="1582" t="s">
        <v>6960</v>
      </c>
      <c r="H7346" s="2" t="s">
        <v>6433</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6960</v>
      </c>
      <c r="H7347" s="2" t="s">
        <v>6434</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6960</v>
      </c>
      <c r="H7348" s="2" t="s">
        <v>6435</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6960</v>
      </c>
      <c r="H7349" s="2" t="s">
        <v>6436</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6960</v>
      </c>
      <c r="H7350" s="2" t="s">
        <v>6437</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6960</v>
      </c>
      <c r="H7351" s="2" t="s">
        <v>6438</v>
      </c>
      <c r="S7351" s="8"/>
    </row>
    <row r="7352" spans="1:19" x14ac:dyDescent="0.2">
      <c r="A7352">
        <v>7347</v>
      </c>
      <c r="B7352" s="8">
        <f>'EstExp 12-20'!C361</f>
        <v>0</v>
      </c>
      <c r="C7352" s="605">
        <f t="shared" si="207"/>
        <v>7347</v>
      </c>
      <c r="D7352" s="3" t="s">
        <v>786</v>
      </c>
      <c r="E7352" s="2" t="b">
        <f t="shared" ca="1" si="206"/>
        <v>1</v>
      </c>
      <c r="F7352" s="2" cm="1">
        <f t="array" aca="1" ref="F7352" ca="1">IF(G7352&lt;&gt;"",INDIRECT("'"&amp;G7352&amp;"'!"&amp;H7352),"")</f>
        <v>0</v>
      </c>
      <c r="G7352" s="1582" t="s">
        <v>6960</v>
      </c>
      <c r="H7352" s="2" t="s">
        <v>6439</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6960</v>
      </c>
      <c r="H7353" s="2" t="s">
        <v>6440</v>
      </c>
      <c r="S7353" s="8"/>
    </row>
    <row r="7354" spans="1:19" x14ac:dyDescent="0.2">
      <c r="A7354">
        <v>7349</v>
      </c>
      <c r="B7354" s="8">
        <f>'EstExp 12-20'!C367</f>
        <v>0</v>
      </c>
      <c r="C7354" s="605">
        <f t="shared" si="207"/>
        <v>7349</v>
      </c>
      <c r="D7354" s="3" t="s">
        <v>786</v>
      </c>
      <c r="E7354" s="2" t="b">
        <f t="shared" ca="1" si="206"/>
        <v>1</v>
      </c>
      <c r="F7354" s="2" cm="1">
        <f t="array" aca="1" ref="F7354" ca="1">IF(G7354&lt;&gt;"",INDIRECT("'"&amp;G7354&amp;"'!"&amp;H7354),"")</f>
        <v>0</v>
      </c>
      <c r="G7354" s="1582" t="s">
        <v>6960</v>
      </c>
      <c r="H7354" s="2" t="s">
        <v>6441</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6960</v>
      </c>
      <c r="H7355" s="2" t="s">
        <v>6442</v>
      </c>
      <c r="S7355" s="8"/>
    </row>
    <row r="7356" spans="1:19" x14ac:dyDescent="0.2">
      <c r="A7356">
        <v>7351</v>
      </c>
      <c r="B7356" s="8">
        <f>'EstExp 12-20'!C369</f>
        <v>0</v>
      </c>
      <c r="C7356" s="605">
        <f t="shared" si="207"/>
        <v>7351</v>
      </c>
      <c r="D7356" s="3" t="s">
        <v>786</v>
      </c>
      <c r="E7356" s="2" t="b">
        <f t="shared" ca="1" si="206"/>
        <v>1</v>
      </c>
      <c r="F7356" s="2" cm="1">
        <f t="array" aca="1" ref="F7356" ca="1">IF(G7356&lt;&gt;"",INDIRECT("'"&amp;G7356&amp;"'!"&amp;H7356),"")</f>
        <v>0</v>
      </c>
      <c r="G7356" s="1582" t="s">
        <v>6960</v>
      </c>
      <c r="H7356" s="2" t="s">
        <v>6443</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6960</v>
      </c>
      <c r="H7357" s="2" t="s">
        <v>6444</v>
      </c>
      <c r="S7357" s="8"/>
    </row>
    <row r="7358" spans="1:19" x14ac:dyDescent="0.2">
      <c r="A7358">
        <v>7353</v>
      </c>
      <c r="B7358" s="8">
        <f>'EstExp 12-20'!C372</f>
        <v>0</v>
      </c>
      <c r="C7358" s="605">
        <f t="shared" si="207"/>
        <v>7353</v>
      </c>
      <c r="D7358" s="3" t="s">
        <v>786</v>
      </c>
      <c r="E7358" s="2" t="b">
        <f t="shared" ca="1" si="206"/>
        <v>1</v>
      </c>
      <c r="F7358" s="2" cm="1">
        <f t="array" aca="1" ref="F7358" ca="1">IF(G7358&lt;&gt;"",INDIRECT("'"&amp;G7358&amp;"'!"&amp;H7358),"")</f>
        <v>0</v>
      </c>
      <c r="G7358" s="1582" t="s">
        <v>6960</v>
      </c>
      <c r="H7358" s="2" t="s">
        <v>6445</v>
      </c>
      <c r="S7358" s="8"/>
    </row>
    <row r="7359" spans="1:19" x14ac:dyDescent="0.2">
      <c r="A7359">
        <v>7354</v>
      </c>
      <c r="B7359" s="8">
        <f>'EstExp 12-20'!C374</f>
        <v>0</v>
      </c>
      <c r="C7359" s="605">
        <f t="shared" si="207"/>
        <v>7354</v>
      </c>
      <c r="D7359" s="3" t="s">
        <v>786</v>
      </c>
      <c r="E7359" s="2" t="b">
        <f t="shared" ca="1" si="206"/>
        <v>1</v>
      </c>
      <c r="F7359" s="2" cm="1">
        <f t="array" aca="1" ref="F7359" ca="1">IF(G7359&lt;&gt;"",INDIRECT("'"&amp;G7359&amp;"'!"&amp;H7359),"")</f>
        <v>0</v>
      </c>
      <c r="G7359" s="1582" t="s">
        <v>6960</v>
      </c>
      <c r="H7359" s="2" t="s">
        <v>6446</v>
      </c>
      <c r="S7359" s="8"/>
    </row>
    <row r="7360" spans="1:19" x14ac:dyDescent="0.2">
      <c r="A7360">
        <v>7355</v>
      </c>
      <c r="B7360" s="8">
        <f>'EstExp 12-20'!C375</f>
        <v>0</v>
      </c>
      <c r="C7360" s="605">
        <f t="shared" si="207"/>
        <v>7355</v>
      </c>
      <c r="D7360" s="3" t="s">
        <v>786</v>
      </c>
      <c r="E7360" s="2" t="b">
        <f t="shared" ca="1" si="206"/>
        <v>1</v>
      </c>
      <c r="F7360" s="2" cm="1">
        <f t="array" aca="1" ref="F7360" ca="1">IF(G7360&lt;&gt;"",INDIRECT("'"&amp;G7360&amp;"'!"&amp;H7360),"")</f>
        <v>0</v>
      </c>
      <c r="G7360" s="1582" t="s">
        <v>6960</v>
      </c>
      <c r="H7360" s="2" t="s">
        <v>6447</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6960</v>
      </c>
      <c r="H7361" s="2" t="s">
        <v>6448</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6960</v>
      </c>
      <c r="H7362" s="2" t="s">
        <v>6449</v>
      </c>
      <c r="S7362" s="8"/>
    </row>
    <row r="7363" spans="1:19" x14ac:dyDescent="0.2">
      <c r="A7363">
        <v>7358</v>
      </c>
      <c r="B7363" s="8">
        <f>'EstExp 12-20'!C378</f>
        <v>0</v>
      </c>
      <c r="C7363" s="605">
        <f t="shared" si="207"/>
        <v>7358</v>
      </c>
      <c r="D7363" s="3" t="s">
        <v>786</v>
      </c>
      <c r="E7363" s="2" t="b">
        <f t="shared" ca="1" si="208"/>
        <v>1</v>
      </c>
      <c r="F7363" s="2" cm="1">
        <f t="array" aca="1" ref="F7363" ca="1">IF(G7363&lt;&gt;"",INDIRECT("'"&amp;G7363&amp;"'!"&amp;H7363),"")</f>
        <v>0</v>
      </c>
      <c r="G7363" s="1582" t="s">
        <v>6960</v>
      </c>
      <c r="H7363" s="2" t="s">
        <v>6450</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6960</v>
      </c>
      <c r="H7364" s="2" t="s">
        <v>6451</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6960</v>
      </c>
      <c r="H7365" s="2" t="s">
        <v>6452</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6960</v>
      </c>
      <c r="H7366" s="2" t="s">
        <v>6453</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6960</v>
      </c>
      <c r="H7367" s="2" t="s">
        <v>6454</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6960</v>
      </c>
      <c r="H7368" s="2" t="s">
        <v>6455</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6960</v>
      </c>
      <c r="H7369" s="2" t="s">
        <v>6456</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6960</v>
      </c>
      <c r="H7370" s="2" t="s">
        <v>6457</v>
      </c>
      <c r="S7370" s="8"/>
    </row>
    <row r="7371" spans="1:19" x14ac:dyDescent="0.2">
      <c r="A7371">
        <v>7366</v>
      </c>
      <c r="B7371" s="8">
        <f>'EstExp 12-20'!C387</f>
        <v>0</v>
      </c>
      <c r="C7371" s="605">
        <f t="shared" si="209"/>
        <v>7366</v>
      </c>
      <c r="D7371" s="3" t="s">
        <v>786</v>
      </c>
      <c r="E7371" s="2" t="b">
        <f t="shared" ca="1" si="208"/>
        <v>1</v>
      </c>
      <c r="F7371" s="2" cm="1">
        <f t="array" aca="1" ref="F7371" ca="1">IF(G7371&lt;&gt;"",INDIRECT("'"&amp;G7371&amp;"'!"&amp;H7371),"")</f>
        <v>0</v>
      </c>
      <c r="G7371" s="1582" t="s">
        <v>6960</v>
      </c>
      <c r="H7371" s="2" t="s">
        <v>6458</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6960</v>
      </c>
      <c r="H7372" s="2" t="s">
        <v>6459</v>
      </c>
      <c r="S7372" s="8"/>
    </row>
    <row r="7373" spans="1:19" x14ac:dyDescent="0.2">
      <c r="A7373">
        <v>7368</v>
      </c>
      <c r="B7373" s="8">
        <f>'EstExp 12-20'!D316</f>
        <v>0</v>
      </c>
      <c r="C7373" s="605">
        <f t="shared" si="209"/>
        <v>7368</v>
      </c>
      <c r="D7373" s="3" t="s">
        <v>786</v>
      </c>
      <c r="E7373" s="2" t="b">
        <f t="shared" ca="1" si="208"/>
        <v>1</v>
      </c>
      <c r="F7373" s="2" cm="1">
        <f t="array" aca="1" ref="F7373" ca="1">IF(G7373&lt;&gt;"",INDIRECT("'"&amp;G7373&amp;"'!"&amp;H7373),"")</f>
        <v>0</v>
      </c>
      <c r="G7373" s="1582" t="s">
        <v>6960</v>
      </c>
      <c r="H7373" s="2" t="s">
        <v>6460</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6960</v>
      </c>
      <c r="H7374" s="2" t="s">
        <v>6461</v>
      </c>
      <c r="S7374" s="8"/>
    </row>
    <row r="7375" spans="1:19" x14ac:dyDescent="0.2">
      <c r="A7375">
        <v>7370</v>
      </c>
      <c r="B7375" s="8">
        <f>'EstExp 12-20'!D319</f>
        <v>0</v>
      </c>
      <c r="C7375" s="605">
        <f t="shared" si="209"/>
        <v>7370</v>
      </c>
      <c r="D7375" s="3" t="s">
        <v>786</v>
      </c>
      <c r="E7375" s="2" t="b">
        <f t="shared" ca="1" si="208"/>
        <v>1</v>
      </c>
      <c r="F7375" s="2" cm="1">
        <f t="array" aca="1" ref="F7375" ca="1">IF(G7375&lt;&gt;"",INDIRECT("'"&amp;G7375&amp;"'!"&amp;H7375),"")</f>
        <v>0</v>
      </c>
      <c r="G7375" s="1582" t="s">
        <v>6960</v>
      </c>
      <c r="H7375" s="2" t="s">
        <v>6462</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6960</v>
      </c>
      <c r="H7376" s="2" t="s">
        <v>6463</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6960</v>
      </c>
      <c r="H7377" s="2" t="s">
        <v>6464</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6960</v>
      </c>
      <c r="H7378" s="2" t="s">
        <v>6465</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6960</v>
      </c>
      <c r="H7379" s="2" t="s">
        <v>6466</v>
      </c>
      <c r="S7379" s="8"/>
    </row>
    <row r="7380" spans="1:19" x14ac:dyDescent="0.2">
      <c r="A7380">
        <v>7375</v>
      </c>
      <c r="B7380" s="8">
        <f>'EstExp 12-20'!D324</f>
        <v>0</v>
      </c>
      <c r="C7380" s="605">
        <f t="shared" si="209"/>
        <v>7375</v>
      </c>
      <c r="D7380" s="3" t="s">
        <v>786</v>
      </c>
      <c r="E7380" s="2" t="b">
        <f t="shared" ca="1" si="208"/>
        <v>1</v>
      </c>
      <c r="F7380" s="2" cm="1">
        <f t="array" aca="1" ref="F7380" ca="1">IF(G7380&lt;&gt;"",INDIRECT("'"&amp;G7380&amp;"'!"&amp;H7380),"")</f>
        <v>0</v>
      </c>
      <c r="G7380" s="1582" t="s">
        <v>6960</v>
      </c>
      <c r="H7380" s="2" t="s">
        <v>6467</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6960</v>
      </c>
      <c r="H7381" s="2" t="s">
        <v>6468</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6960</v>
      </c>
      <c r="H7382" s="2" t="s">
        <v>6469</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6960</v>
      </c>
      <c r="H7383" s="2" t="s">
        <v>6470</v>
      </c>
      <c r="S7383" s="8"/>
    </row>
    <row r="7384" spans="1:19" x14ac:dyDescent="0.2">
      <c r="A7384">
        <v>7379</v>
      </c>
      <c r="B7384" s="8">
        <f>'EstExp 12-20'!D328</f>
        <v>0</v>
      </c>
      <c r="C7384" s="605">
        <f t="shared" si="209"/>
        <v>7379</v>
      </c>
      <c r="D7384" s="3" t="s">
        <v>786</v>
      </c>
      <c r="E7384" s="2" t="b">
        <f t="shared" ca="1" si="208"/>
        <v>1</v>
      </c>
      <c r="F7384" s="2" cm="1">
        <f t="array" aca="1" ref="F7384" ca="1">IF(G7384&lt;&gt;"",INDIRECT("'"&amp;G7384&amp;"'!"&amp;H7384),"")</f>
        <v>0</v>
      </c>
      <c r="G7384" s="1582" t="s">
        <v>6960</v>
      </c>
      <c r="H7384" s="2" t="s">
        <v>6471</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6960</v>
      </c>
      <c r="H7385" s="2" t="s">
        <v>6472</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6960</v>
      </c>
      <c r="H7386" s="2" t="s">
        <v>6473</v>
      </c>
      <c r="S7386" s="8"/>
    </row>
    <row r="7387" spans="1:19" x14ac:dyDescent="0.2">
      <c r="A7387">
        <v>7382</v>
      </c>
      <c r="B7387" s="8">
        <f>'EstExp 12-20'!D344</f>
        <v>0</v>
      </c>
      <c r="C7387" s="605">
        <f t="shared" si="209"/>
        <v>7382</v>
      </c>
      <c r="D7387" s="3" t="s">
        <v>786</v>
      </c>
      <c r="E7387" s="2" t="b">
        <f t="shared" ca="1" si="208"/>
        <v>1</v>
      </c>
      <c r="F7387" s="2" cm="1">
        <f t="array" aca="1" ref="F7387" ca="1">IF(G7387&lt;&gt;"",INDIRECT("'"&amp;G7387&amp;"'!"&amp;H7387),"")</f>
        <v>0</v>
      </c>
      <c r="G7387" s="1582" t="s">
        <v>6960</v>
      </c>
      <c r="H7387" s="2" t="s">
        <v>6474</v>
      </c>
      <c r="S7387" s="8"/>
    </row>
    <row r="7388" spans="1:19" x14ac:dyDescent="0.2">
      <c r="A7388">
        <v>7383</v>
      </c>
      <c r="B7388" s="8">
        <f>'EstExp 12-20'!D347</f>
        <v>0</v>
      </c>
      <c r="C7388" s="605">
        <f t="shared" si="209"/>
        <v>7383</v>
      </c>
      <c r="D7388" s="3" t="s">
        <v>786</v>
      </c>
      <c r="E7388" s="2" t="b">
        <f t="shared" ca="1" si="208"/>
        <v>1</v>
      </c>
      <c r="F7388" s="2" cm="1">
        <f t="array" aca="1" ref="F7388" ca="1">IF(G7388&lt;&gt;"",INDIRECT("'"&amp;G7388&amp;"'!"&amp;H7388),"")</f>
        <v>0</v>
      </c>
      <c r="G7388" s="1582" t="s">
        <v>6960</v>
      </c>
      <c r="H7388" s="2" t="s">
        <v>6475</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6960</v>
      </c>
      <c r="H7389" s="2" t="s">
        <v>6476</v>
      </c>
      <c r="S7389" s="8"/>
    </row>
    <row r="7390" spans="1:19" x14ac:dyDescent="0.2">
      <c r="A7390">
        <v>7385</v>
      </c>
      <c r="B7390" s="8">
        <f>'EstExp 12-20'!D349</f>
        <v>0</v>
      </c>
      <c r="C7390" s="605">
        <f t="shared" si="209"/>
        <v>7385</v>
      </c>
      <c r="D7390" s="3" t="s">
        <v>786</v>
      </c>
      <c r="E7390" s="2" t="b">
        <f t="shared" ca="1" si="208"/>
        <v>1</v>
      </c>
      <c r="F7390" s="2" cm="1">
        <f t="array" aca="1" ref="F7390" ca="1">IF(G7390&lt;&gt;"",INDIRECT("'"&amp;G7390&amp;"'!"&amp;H7390),"")</f>
        <v>0</v>
      </c>
      <c r="G7390" s="1582" t="s">
        <v>6960</v>
      </c>
      <c r="H7390" s="2" t="s">
        <v>6477</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6960</v>
      </c>
      <c r="H7391" s="2" t="s">
        <v>6478</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6960</v>
      </c>
      <c r="H7392" s="2" t="s">
        <v>6479</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6960</v>
      </c>
      <c r="H7393" s="2" t="s">
        <v>6480</v>
      </c>
      <c r="S7393" s="8"/>
    </row>
    <row r="7394" spans="1:19" x14ac:dyDescent="0.2">
      <c r="A7394">
        <v>7389</v>
      </c>
      <c r="B7394" s="8">
        <f>'EstExp 12-20'!D353</f>
        <v>0</v>
      </c>
      <c r="C7394" s="605">
        <f t="shared" si="209"/>
        <v>7389</v>
      </c>
      <c r="D7394" s="3" t="s">
        <v>786</v>
      </c>
      <c r="E7394" s="2" t="b">
        <f t="shared" ca="1" si="208"/>
        <v>1</v>
      </c>
      <c r="F7394" s="2" cm="1">
        <f t="array" aca="1" ref="F7394" ca="1">IF(G7394&lt;&gt;"",INDIRECT("'"&amp;G7394&amp;"'!"&amp;H7394),"")</f>
        <v>0</v>
      </c>
      <c r="G7394" s="1582" t="s">
        <v>6960</v>
      </c>
      <c r="H7394" s="2" t="s">
        <v>6481</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6960</v>
      </c>
      <c r="H7395" s="2" t="s">
        <v>6482</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6960</v>
      </c>
      <c r="H7396" s="2" t="s">
        <v>6483</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6960</v>
      </c>
      <c r="H7397" s="2" t="s">
        <v>6484</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6960</v>
      </c>
      <c r="H7398" s="2" t="s">
        <v>6485</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6960</v>
      </c>
      <c r="H7399" s="2" t="s">
        <v>6486</v>
      </c>
      <c r="S7399" s="8"/>
    </row>
    <row r="7400" spans="1:19" x14ac:dyDescent="0.2">
      <c r="A7400">
        <v>7395</v>
      </c>
      <c r="B7400" s="8">
        <f>'EstExp 12-20'!D361</f>
        <v>0</v>
      </c>
      <c r="C7400" s="605">
        <f t="shared" si="209"/>
        <v>7395</v>
      </c>
      <c r="D7400" s="3" t="s">
        <v>786</v>
      </c>
      <c r="E7400" s="2" t="b">
        <f t="shared" ca="1" si="208"/>
        <v>1</v>
      </c>
      <c r="F7400" s="2" cm="1">
        <f t="array" aca="1" ref="F7400" ca="1">IF(G7400&lt;&gt;"",INDIRECT("'"&amp;G7400&amp;"'!"&amp;H7400),"")</f>
        <v>0</v>
      </c>
      <c r="G7400" s="1582" t="s">
        <v>6960</v>
      </c>
      <c r="H7400" s="2" t="s">
        <v>6487</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6960</v>
      </c>
      <c r="H7401" s="2" t="s">
        <v>6488</v>
      </c>
      <c r="S7401" s="8"/>
    </row>
    <row r="7402" spans="1:19" x14ac:dyDescent="0.2">
      <c r="A7402">
        <v>7397</v>
      </c>
      <c r="B7402" s="8">
        <f>'EstExp 12-20'!D367</f>
        <v>0</v>
      </c>
      <c r="C7402" s="605">
        <f t="shared" si="209"/>
        <v>7397</v>
      </c>
      <c r="D7402" s="3" t="s">
        <v>786</v>
      </c>
      <c r="E7402" s="2" t="b">
        <f t="shared" ca="1" si="208"/>
        <v>1</v>
      </c>
      <c r="F7402" s="2" cm="1">
        <f t="array" aca="1" ref="F7402" ca="1">IF(G7402&lt;&gt;"",INDIRECT("'"&amp;G7402&amp;"'!"&amp;H7402),"")</f>
        <v>0</v>
      </c>
      <c r="G7402" s="1582" t="s">
        <v>6960</v>
      </c>
      <c r="H7402" s="2" t="s">
        <v>6489</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6960</v>
      </c>
      <c r="H7403" s="2" t="s">
        <v>6490</v>
      </c>
      <c r="S7403" s="8"/>
    </row>
    <row r="7404" spans="1:19" x14ac:dyDescent="0.2">
      <c r="A7404">
        <v>7399</v>
      </c>
      <c r="B7404" s="8">
        <f>'EstExp 12-20'!D369</f>
        <v>0</v>
      </c>
      <c r="C7404" s="605">
        <f t="shared" si="209"/>
        <v>7399</v>
      </c>
      <c r="D7404" s="3" t="s">
        <v>786</v>
      </c>
      <c r="E7404" s="2" t="b">
        <f t="shared" ca="1" si="208"/>
        <v>1</v>
      </c>
      <c r="F7404" s="2" cm="1">
        <f t="array" aca="1" ref="F7404" ca="1">IF(G7404&lt;&gt;"",INDIRECT("'"&amp;G7404&amp;"'!"&amp;H7404),"")</f>
        <v>0</v>
      </c>
      <c r="G7404" s="1582" t="s">
        <v>6960</v>
      </c>
      <c r="H7404" s="2" t="s">
        <v>6491</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6960</v>
      </c>
      <c r="H7405" s="2" t="s">
        <v>6492</v>
      </c>
      <c r="S7405" s="8"/>
    </row>
    <row r="7406" spans="1:19" x14ac:dyDescent="0.2">
      <c r="A7406">
        <v>7401</v>
      </c>
      <c r="B7406" s="8">
        <f>'EstExp 12-20'!D372</f>
        <v>0</v>
      </c>
      <c r="C7406" s="605">
        <f t="shared" si="209"/>
        <v>7401</v>
      </c>
      <c r="D7406" s="3" t="s">
        <v>786</v>
      </c>
      <c r="E7406" s="2" t="b">
        <f t="shared" ca="1" si="208"/>
        <v>1</v>
      </c>
      <c r="F7406" s="2" cm="1">
        <f t="array" aca="1" ref="F7406" ca="1">IF(G7406&lt;&gt;"",INDIRECT("'"&amp;G7406&amp;"'!"&amp;H7406),"")</f>
        <v>0</v>
      </c>
      <c r="G7406" s="1582" t="s">
        <v>6960</v>
      </c>
      <c r="H7406" s="2" t="s">
        <v>6493</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6960</v>
      </c>
      <c r="H7407" s="2" t="s">
        <v>6494</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6960</v>
      </c>
      <c r="H7408" s="2" t="s">
        <v>6495</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6960</v>
      </c>
      <c r="H7409" s="2" t="s">
        <v>6496</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6960</v>
      </c>
      <c r="H7410" s="2" t="s">
        <v>6497</v>
      </c>
      <c r="S7410" s="8"/>
    </row>
    <row r="7411" spans="1:19" x14ac:dyDescent="0.2">
      <c r="A7411">
        <v>7406</v>
      </c>
      <c r="B7411" s="8">
        <f>'EstExp 12-20'!D378</f>
        <v>0</v>
      </c>
      <c r="C7411" s="605">
        <f t="shared" si="209"/>
        <v>7406</v>
      </c>
      <c r="D7411" s="3" t="s">
        <v>786</v>
      </c>
      <c r="E7411" s="2" t="b">
        <f t="shared" ca="1" si="208"/>
        <v>1</v>
      </c>
      <c r="F7411" s="2" cm="1">
        <f t="array" aca="1" ref="F7411" ca="1">IF(G7411&lt;&gt;"",INDIRECT("'"&amp;G7411&amp;"'!"&amp;H7411),"")</f>
        <v>0</v>
      </c>
      <c r="G7411" s="1582" t="s">
        <v>6960</v>
      </c>
      <c r="H7411" s="2" t="s">
        <v>6498</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6960</v>
      </c>
      <c r="H7412" s="2" t="s">
        <v>6499</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6960</v>
      </c>
      <c r="H7413" s="2" t="s">
        <v>6500</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6960</v>
      </c>
      <c r="H7414" s="2" t="s">
        <v>6501</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6960</v>
      </c>
      <c r="H7415" s="2" t="s">
        <v>6502</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6960</v>
      </c>
      <c r="H7416" s="2" t="s">
        <v>6503</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6960</v>
      </c>
      <c r="H7417" s="2" t="s">
        <v>6504</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6960</v>
      </c>
      <c r="H7418" s="2" t="s">
        <v>6505</v>
      </c>
      <c r="S7418" s="8"/>
    </row>
    <row r="7419" spans="1:19" x14ac:dyDescent="0.2">
      <c r="A7419">
        <v>7414</v>
      </c>
      <c r="B7419" s="8">
        <f>'EstExp 12-20'!D387</f>
        <v>0</v>
      </c>
      <c r="C7419" s="605">
        <f t="shared" si="209"/>
        <v>7414</v>
      </c>
      <c r="D7419" s="3" t="s">
        <v>786</v>
      </c>
      <c r="E7419" s="2" t="b">
        <f t="shared" ca="1" si="208"/>
        <v>1</v>
      </c>
      <c r="F7419" s="2" cm="1">
        <f t="array" aca="1" ref="F7419" ca="1">IF(G7419&lt;&gt;"",INDIRECT("'"&amp;G7419&amp;"'!"&amp;H7419),"")</f>
        <v>0</v>
      </c>
      <c r="G7419" s="1582" t="s">
        <v>6960</v>
      </c>
      <c r="H7419" s="2" t="s">
        <v>6506</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6960</v>
      </c>
      <c r="H7420" s="2" t="s">
        <v>6507</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6960</v>
      </c>
      <c r="H7421" s="2" t="s">
        <v>6508</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6960</v>
      </c>
      <c r="H7422" s="2" t="s">
        <v>6509</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6960</v>
      </c>
      <c r="H7423" s="2" t="s">
        <v>6510</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6960</v>
      </c>
      <c r="H7424" s="2" t="s">
        <v>6511</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6960</v>
      </c>
      <c r="H7425" s="2" t="s">
        <v>6512</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6960</v>
      </c>
      <c r="H7426" s="2" t="s">
        <v>6513</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6960</v>
      </c>
      <c r="H7427" s="2" t="s">
        <v>6514</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6960</v>
      </c>
      <c r="H7428" s="2" t="s">
        <v>6515</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6960</v>
      </c>
      <c r="H7429" s="2" t="s">
        <v>6516</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6960</v>
      </c>
      <c r="H7430" s="2" t="s">
        <v>6517</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6960</v>
      </c>
      <c r="H7431" s="2" t="s">
        <v>6518</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6960</v>
      </c>
      <c r="H7432" s="2" t="s">
        <v>6519</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6960</v>
      </c>
      <c r="H7433" s="2" t="s">
        <v>6520</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6960</v>
      </c>
      <c r="H7434" s="2" t="s">
        <v>6521</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6960</v>
      </c>
      <c r="H7435" s="2" t="s">
        <v>6522</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6960</v>
      </c>
      <c r="H7436" s="2" t="s">
        <v>6523</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6960</v>
      </c>
      <c r="H7437" s="2" t="s">
        <v>6524</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6960</v>
      </c>
      <c r="H7438" s="2" t="s">
        <v>6525</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6960</v>
      </c>
      <c r="H7439" s="2" t="s">
        <v>6526</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6960</v>
      </c>
      <c r="H7440" s="2" t="s">
        <v>6527</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6960</v>
      </c>
      <c r="H7441" s="2" t="s">
        <v>6528</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6960</v>
      </c>
      <c r="H7442" s="2" t="s">
        <v>6529</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6960</v>
      </c>
      <c r="H7443" s="2" t="s">
        <v>6530</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6960</v>
      </c>
      <c r="H7444" s="2" t="s">
        <v>6531</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6960</v>
      </c>
      <c r="H7445" s="2" t="s">
        <v>6532</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6960</v>
      </c>
      <c r="H7446" s="2" t="s">
        <v>6533</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6960</v>
      </c>
      <c r="H7447" s="2" t="s">
        <v>6534</v>
      </c>
      <c r="S7447" s="8"/>
    </row>
    <row r="7448" spans="1:19" x14ac:dyDescent="0.2">
      <c r="A7448">
        <v>7443</v>
      </c>
      <c r="B7448" s="8">
        <f>'EstExp 12-20'!E360</f>
        <v>0</v>
      </c>
      <c r="C7448" s="605">
        <f t="shared" si="211"/>
        <v>7443</v>
      </c>
      <c r="D7448" s="3" t="s">
        <v>786</v>
      </c>
      <c r="E7448" s="2" t="b">
        <f t="shared" ca="1" si="210"/>
        <v>1</v>
      </c>
      <c r="F7448" s="2" cm="1">
        <f t="array" aca="1" ref="F7448" ca="1">IF(G7448&lt;&gt;"",INDIRECT("'"&amp;G7448&amp;"'!"&amp;H7448),"")</f>
        <v>0</v>
      </c>
      <c r="G7448" s="1582" t="s">
        <v>6960</v>
      </c>
      <c r="H7448" s="2" t="s">
        <v>6535</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6960</v>
      </c>
      <c r="H7449" s="2" t="s">
        <v>6536</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6960</v>
      </c>
      <c r="H7450" s="2" t="s">
        <v>6537</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6960</v>
      </c>
      <c r="H7451" s="2" t="s">
        <v>6538</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6960</v>
      </c>
      <c r="H7452" s="2" t="s">
        <v>6539</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6960</v>
      </c>
      <c r="H7453" s="2" t="s">
        <v>6540</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6960</v>
      </c>
      <c r="H7454" s="2" t="s">
        <v>6541</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6960</v>
      </c>
      <c r="H7455" s="2" t="s">
        <v>6542</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6960</v>
      </c>
      <c r="H7456" s="2" t="s">
        <v>6543</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6960</v>
      </c>
      <c r="H7457" s="2" t="s">
        <v>6544</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6960</v>
      </c>
      <c r="H7458" s="2" t="s">
        <v>6545</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6960</v>
      </c>
      <c r="H7459" s="2" t="s">
        <v>6546</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6960</v>
      </c>
      <c r="H7460" s="2" t="s">
        <v>6547</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6960</v>
      </c>
      <c r="H7461" s="2" t="s">
        <v>6548</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6960</v>
      </c>
      <c r="H7462" s="2" t="s">
        <v>6549</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6960</v>
      </c>
      <c r="H7463" s="2" t="s">
        <v>6550</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6960</v>
      </c>
      <c r="H7464" s="2" t="s">
        <v>6551</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6960</v>
      </c>
      <c r="H7465" s="2" t="s">
        <v>6552</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6960</v>
      </c>
      <c r="H7466" s="2" t="s">
        <v>6553</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6960</v>
      </c>
      <c r="H7467" s="2" t="s">
        <v>6554</v>
      </c>
      <c r="S7467" s="8"/>
    </row>
    <row r="7468" spans="1:19" x14ac:dyDescent="0.2">
      <c r="A7468">
        <v>7463</v>
      </c>
      <c r="B7468" s="8">
        <f>'EstExp 12-20'!E387</f>
        <v>149000</v>
      </c>
      <c r="C7468" s="605">
        <f t="shared" si="211"/>
        <v>-141537</v>
      </c>
      <c r="D7468" s="3" t="s">
        <v>786</v>
      </c>
      <c r="E7468" s="2" t="b">
        <f t="shared" ca="1" si="210"/>
        <v>1</v>
      </c>
      <c r="F7468" s="2" cm="1">
        <f t="array" aca="1" ref="F7468" ca="1">IF(G7468&lt;&gt;"",INDIRECT("'"&amp;G7468&amp;"'!"&amp;H7468),"")</f>
        <v>149000</v>
      </c>
      <c r="G7468" s="1582" t="s">
        <v>6960</v>
      </c>
      <c r="H7468" s="2" t="s">
        <v>6555</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6960</v>
      </c>
      <c r="H7469" s="2" t="s">
        <v>6556</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6960</v>
      </c>
      <c r="H7470" s="2" t="s">
        <v>6557</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6960</v>
      </c>
      <c r="H7471" s="2" t="s">
        <v>6558</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6960</v>
      </c>
      <c r="H7472" s="2" t="s">
        <v>6559</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6960</v>
      </c>
      <c r="H7473" s="2" t="s">
        <v>6560</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6960</v>
      </c>
      <c r="H7474" s="2" t="s">
        <v>6561</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6960</v>
      </c>
      <c r="H7475" s="2" t="s">
        <v>6562</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6960</v>
      </c>
      <c r="H7476" s="2" t="s">
        <v>6563</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6960</v>
      </c>
      <c r="H7477" s="2" t="s">
        <v>6564</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6960</v>
      </c>
      <c r="H7478" s="2" t="s">
        <v>6565</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6960</v>
      </c>
      <c r="H7479" s="2" t="s">
        <v>6566</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6960</v>
      </c>
      <c r="H7480" s="2" t="s">
        <v>6567</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6960</v>
      </c>
      <c r="H7481" s="2" t="s">
        <v>6568</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6960</v>
      </c>
      <c r="H7482" s="2" t="s">
        <v>6569</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6960</v>
      </c>
      <c r="H7483" s="2" t="s">
        <v>6570</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6960</v>
      </c>
      <c r="H7484" s="2" t="s">
        <v>6571</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6960</v>
      </c>
      <c r="H7485" s="2" t="s">
        <v>6572</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6960</v>
      </c>
      <c r="H7486" s="2" t="s">
        <v>6573</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6960</v>
      </c>
      <c r="H7487" s="2" t="s">
        <v>6574</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6960</v>
      </c>
      <c r="H7488" s="2" t="s">
        <v>6575</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6960</v>
      </c>
      <c r="H7489" s="2" t="s">
        <v>6576</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6960</v>
      </c>
      <c r="H7490" s="2" t="s">
        <v>6577</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6960</v>
      </c>
      <c r="H7491" s="2" t="s">
        <v>6578</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6960</v>
      </c>
      <c r="H7492" s="2" t="s">
        <v>6579</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6960</v>
      </c>
      <c r="H7493" s="2" t="s">
        <v>6580</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6960</v>
      </c>
      <c r="H7494" s="2" t="s">
        <v>6581</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6960</v>
      </c>
      <c r="H7495" s="2" t="s">
        <v>6582</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6960</v>
      </c>
      <c r="H7496" s="2" t="s">
        <v>6583</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6960</v>
      </c>
      <c r="H7497" s="2" t="s">
        <v>6584</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6960</v>
      </c>
      <c r="H7498" s="2" t="s">
        <v>6585</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6960</v>
      </c>
      <c r="H7499" s="2" t="s">
        <v>6586</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6960</v>
      </c>
      <c r="H7500" s="2" t="s">
        <v>6587</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6960</v>
      </c>
      <c r="H7501" s="2" t="s">
        <v>6588</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6960</v>
      </c>
      <c r="H7502" s="2" t="s">
        <v>6589</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6960</v>
      </c>
      <c r="H7503" s="2" t="s">
        <v>6590</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6960</v>
      </c>
      <c r="H7504" s="2" t="s">
        <v>6591</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6960</v>
      </c>
      <c r="H7505" s="2" t="s">
        <v>6592</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6960</v>
      </c>
      <c r="H7506" s="2" t="s">
        <v>6593</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6960</v>
      </c>
      <c r="H7507" s="2" t="s">
        <v>6594</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6960</v>
      </c>
      <c r="H7508" s="2" t="s">
        <v>6595</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6960</v>
      </c>
      <c r="H7509" s="2" t="s">
        <v>6596</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6960</v>
      </c>
      <c r="H7510" s="2" t="s">
        <v>6597</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6960</v>
      </c>
      <c r="H7511" s="2" t="s">
        <v>6598</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6960</v>
      </c>
      <c r="H7512" s="2" t="s">
        <v>6599</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6960</v>
      </c>
      <c r="H7513" s="2" t="s">
        <v>6600</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6960</v>
      </c>
      <c r="H7514" s="2" t="s">
        <v>6601</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6960</v>
      </c>
      <c r="H7515" s="2" t="s">
        <v>6602</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6960</v>
      </c>
      <c r="H7516" s="2" t="s">
        <v>6603</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6960</v>
      </c>
      <c r="H7517" s="2" t="s">
        <v>6604</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6960</v>
      </c>
      <c r="H7518" s="2" t="s">
        <v>6605</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6960</v>
      </c>
      <c r="H7519" s="2" t="s">
        <v>6606</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6960</v>
      </c>
      <c r="H7520" s="2" t="s">
        <v>6607</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6960</v>
      </c>
      <c r="H7521" s="2" t="s">
        <v>6608</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6960</v>
      </c>
      <c r="H7522" s="2" t="s">
        <v>6609</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6960</v>
      </c>
      <c r="H7523" s="2" t="s">
        <v>6610</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6960</v>
      </c>
      <c r="H7524" s="2" t="s">
        <v>6611</v>
      </c>
      <c r="S7524" s="8"/>
    </row>
    <row r="7525" spans="1:19" x14ac:dyDescent="0.2">
      <c r="A7525">
        <v>7520</v>
      </c>
      <c r="B7525" s="8">
        <f>'EstExp 12-20'!F387</f>
        <v>0</v>
      </c>
      <c r="C7525" s="605">
        <f t="shared" si="213"/>
        <v>7520</v>
      </c>
      <c r="D7525" s="3" t="s">
        <v>786</v>
      </c>
      <c r="E7525" s="2" t="b">
        <f t="shared" ca="1" si="212"/>
        <v>1</v>
      </c>
      <c r="F7525" s="2" cm="1">
        <f t="array" aca="1" ref="F7525" ca="1">IF(G7525&lt;&gt;"",INDIRECT("'"&amp;G7525&amp;"'!"&amp;H7525),"")</f>
        <v>0</v>
      </c>
      <c r="G7525" s="1582" t="s">
        <v>6960</v>
      </c>
      <c r="H7525" s="2" t="s">
        <v>6612</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6960</v>
      </c>
      <c r="H7526" s="2" t="s">
        <v>6613</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6960</v>
      </c>
      <c r="H7527" s="2" t="s">
        <v>6614</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6960</v>
      </c>
      <c r="H7528" s="2" t="s">
        <v>6615</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6960</v>
      </c>
      <c r="H7529" s="2" t="s">
        <v>6616</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6960</v>
      </c>
      <c r="H7530" s="2" t="s">
        <v>6617</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6960</v>
      </c>
      <c r="H7531" s="2" t="s">
        <v>6618</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6960</v>
      </c>
      <c r="H7532" s="2" t="s">
        <v>6619</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6960</v>
      </c>
      <c r="H7533" s="2" t="s">
        <v>6620</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6960</v>
      </c>
      <c r="H7534" s="2" t="s">
        <v>6621</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6960</v>
      </c>
      <c r="H7535" s="2" t="s">
        <v>6622</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6960</v>
      </c>
      <c r="H7536" s="2" t="s">
        <v>6623</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6960</v>
      </c>
      <c r="H7537" s="2" t="s">
        <v>6624</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6960</v>
      </c>
      <c r="H7538" s="2" t="s">
        <v>6625</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6960</v>
      </c>
      <c r="H7539" s="2" t="s">
        <v>6626</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6960</v>
      </c>
      <c r="H7540" s="2" t="s">
        <v>6627</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6960</v>
      </c>
      <c r="H7541" s="2" t="s">
        <v>6628</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6960</v>
      </c>
      <c r="H7542" s="2" t="s">
        <v>6629</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6960</v>
      </c>
      <c r="H7543" s="2" t="s">
        <v>6630</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6960</v>
      </c>
      <c r="H7544" s="2" t="s">
        <v>6631</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6960</v>
      </c>
      <c r="H7545" s="2" t="s">
        <v>6632</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6960</v>
      </c>
      <c r="H7546" s="2" t="s">
        <v>6633</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6960</v>
      </c>
      <c r="H7547" s="2" t="s">
        <v>6634</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6960</v>
      </c>
      <c r="H7548" s="2" t="s">
        <v>6635</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6960</v>
      </c>
      <c r="H7549" s="2" t="s">
        <v>6636</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6960</v>
      </c>
      <c r="H7550" s="2" t="s">
        <v>6637</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6960</v>
      </c>
      <c r="H7551" s="2" t="s">
        <v>6638</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6960</v>
      </c>
      <c r="H7552" s="2" t="s">
        <v>6639</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6960</v>
      </c>
      <c r="H7553" s="2" t="s">
        <v>6640</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6960</v>
      </c>
      <c r="H7554" s="2" t="s">
        <v>6641</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6960</v>
      </c>
      <c r="H7555" s="2" t="s">
        <v>6642</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6960</v>
      </c>
      <c r="H7556" s="2" t="s">
        <v>6643</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6960</v>
      </c>
      <c r="H7557" s="2" t="s">
        <v>6644</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6960</v>
      </c>
      <c r="H7558" s="2" t="s">
        <v>6645</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6960</v>
      </c>
      <c r="H7559" s="2" t="s">
        <v>6646</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6960</v>
      </c>
      <c r="H7560" s="2" t="s">
        <v>6647</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6960</v>
      </c>
      <c r="H7561" s="2" t="s">
        <v>6648</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6960</v>
      </c>
      <c r="H7562" s="2" t="s">
        <v>6649</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6960</v>
      </c>
      <c r="H7563" s="2" t="s">
        <v>6650</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6960</v>
      </c>
      <c r="H7564" s="2" t="s">
        <v>6651</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6960</v>
      </c>
      <c r="H7565" s="2" t="s">
        <v>6652</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6960</v>
      </c>
      <c r="H7566" s="2" t="s">
        <v>6653</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6960</v>
      </c>
      <c r="H7567" s="2" t="s">
        <v>6654</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6960</v>
      </c>
      <c r="H7568" s="2" t="s">
        <v>6655</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6960</v>
      </c>
      <c r="H7569" s="2" t="s">
        <v>6656</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6960</v>
      </c>
      <c r="H7570" s="2" t="s">
        <v>6657</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6960</v>
      </c>
      <c r="H7571" s="2" t="s">
        <v>6658</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6960</v>
      </c>
      <c r="H7572" s="2" t="s">
        <v>6659</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6960</v>
      </c>
      <c r="H7573" s="2" t="s">
        <v>6660</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6960</v>
      </c>
      <c r="H7574" s="2" t="s">
        <v>6661</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6960</v>
      </c>
      <c r="H7575" s="2" t="s">
        <v>6662</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6960</v>
      </c>
      <c r="H7576" s="2" t="s">
        <v>6663</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6960</v>
      </c>
      <c r="H7577" s="2" t="s">
        <v>6664</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6960</v>
      </c>
      <c r="H7578" s="2" t="s">
        <v>6665</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6960</v>
      </c>
      <c r="H7579" s="2" t="s">
        <v>6666</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6960</v>
      </c>
      <c r="H7580" s="2" t="s">
        <v>6667</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6960</v>
      </c>
      <c r="H7581" s="2" t="s">
        <v>6668</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6960</v>
      </c>
      <c r="H7582" s="2" t="s">
        <v>6669</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6960</v>
      </c>
      <c r="H7583" s="2" t="s">
        <v>6670</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6960</v>
      </c>
      <c r="H7584" s="2" t="s">
        <v>6671</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6960</v>
      </c>
      <c r="H7585" s="2" t="s">
        <v>6672</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6960</v>
      </c>
      <c r="H7586" s="2" t="s">
        <v>6673</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6960</v>
      </c>
      <c r="H7587" s="2" t="s">
        <v>6674</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6960</v>
      </c>
      <c r="H7588" s="2" t="s">
        <v>6675</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6960</v>
      </c>
      <c r="H7589" s="2" t="s">
        <v>6676</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6960</v>
      </c>
      <c r="H7590" s="2" t="s">
        <v>6677</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6960</v>
      </c>
      <c r="H7591" s="2" t="s">
        <v>6678</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6960</v>
      </c>
      <c r="H7592" s="2" t="s">
        <v>6679</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6960</v>
      </c>
      <c r="H7593" s="2" t="s">
        <v>6680</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6960</v>
      </c>
      <c r="H7594" s="2" t="s">
        <v>6681</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6960</v>
      </c>
      <c r="H7595" s="2" t="s">
        <v>6682</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6960</v>
      </c>
      <c r="H7596" s="2" t="s">
        <v>6683</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6960</v>
      </c>
      <c r="H7597" s="2" t="s">
        <v>6684</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6960</v>
      </c>
      <c r="H7598" s="2" t="s">
        <v>6685</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6960</v>
      </c>
      <c r="H7599" s="2" t="s">
        <v>6686</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6960</v>
      </c>
      <c r="H7600" s="2" t="s">
        <v>6687</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6960</v>
      </c>
      <c r="H7601" s="2" t="s">
        <v>6688</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6960</v>
      </c>
      <c r="H7602" s="2" t="s">
        <v>6689</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6960</v>
      </c>
      <c r="H7603" s="2" t="s">
        <v>6690</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6960</v>
      </c>
      <c r="H7604" s="2" t="s">
        <v>6691</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6960</v>
      </c>
      <c r="H7605" s="2" t="s">
        <v>6692</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6960</v>
      </c>
      <c r="H7606" s="2" t="s">
        <v>6693</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6960</v>
      </c>
      <c r="H7607" s="2" t="s">
        <v>6694</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6960</v>
      </c>
      <c r="H7608" s="2" t="s">
        <v>6695</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6960</v>
      </c>
      <c r="H7609" s="2" t="s">
        <v>6696</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6960</v>
      </c>
      <c r="H7610" s="2" t="s">
        <v>6697</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6960</v>
      </c>
      <c r="H7611" s="2" t="s">
        <v>6698</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6960</v>
      </c>
      <c r="H7612" s="2" t="s">
        <v>6699</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6960</v>
      </c>
      <c r="H7613" s="2" t="s">
        <v>6700</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6960</v>
      </c>
      <c r="H7614" s="2" t="s">
        <v>6701</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6960</v>
      </c>
      <c r="H7615" s="2" t="s">
        <v>6702</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6960</v>
      </c>
      <c r="H7616" s="2" t="s">
        <v>6703</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6960</v>
      </c>
      <c r="H7617" s="2" t="s">
        <v>6704</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6960</v>
      </c>
      <c r="H7618" s="2" t="s">
        <v>6705</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6960</v>
      </c>
      <c r="H7619" s="2" t="s">
        <v>6706</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6960</v>
      </c>
      <c r="H7620" s="2" t="s">
        <v>6707</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6960</v>
      </c>
      <c r="H7621" s="2" t="s">
        <v>6708</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6960</v>
      </c>
      <c r="H7622" s="2" t="s">
        <v>6709</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6960</v>
      </c>
      <c r="H7623" s="2" t="s">
        <v>6710</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6960</v>
      </c>
      <c r="H7624" s="2" t="s">
        <v>6711</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6960</v>
      </c>
      <c r="H7625" s="2" t="s">
        <v>6712</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6960</v>
      </c>
      <c r="H7626" s="2" t="s">
        <v>6713</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6960</v>
      </c>
      <c r="H7627" s="2" t="s">
        <v>6714</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6960</v>
      </c>
      <c r="H7628" s="2" t="s">
        <v>6715</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6960</v>
      </c>
      <c r="H7629" s="2" t="s">
        <v>6716</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6960</v>
      </c>
      <c r="H7630" s="2" t="s">
        <v>6717</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6960</v>
      </c>
      <c r="H7631" s="2" t="s">
        <v>6718</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6960</v>
      </c>
      <c r="H7632" s="2" t="s">
        <v>6719</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6960</v>
      </c>
      <c r="H7633" s="2" t="s">
        <v>6720</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6960</v>
      </c>
      <c r="H7634" s="2" t="s">
        <v>6721</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6960</v>
      </c>
      <c r="H7635" s="2" t="s">
        <v>6722</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6960</v>
      </c>
      <c r="H7636" s="2" t="s">
        <v>6723</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6960</v>
      </c>
      <c r="H7637" s="2" t="s">
        <v>6724</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6960</v>
      </c>
      <c r="H7638" s="2" t="s">
        <v>6725</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6960</v>
      </c>
      <c r="H7640" s="2" t="s">
        <v>6726</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6960</v>
      </c>
      <c r="H7641" s="2" t="s">
        <v>6727</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6960</v>
      </c>
      <c r="H7642" s="2" t="s">
        <v>6728</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6960</v>
      </c>
      <c r="H7643" s="2" t="s">
        <v>6729</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6960</v>
      </c>
      <c r="H7644" s="2" t="s">
        <v>6730</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6960</v>
      </c>
      <c r="H7645" s="2" t="s">
        <v>6731</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6960</v>
      </c>
      <c r="H7646" s="2" t="s">
        <v>6732</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6960</v>
      </c>
      <c r="H7647" s="2" t="s">
        <v>6733</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6960</v>
      </c>
      <c r="H7648" s="2" t="s">
        <v>6734</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6960</v>
      </c>
      <c r="H7649" s="2" t="s">
        <v>6735</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6960</v>
      </c>
      <c r="H7650" s="2" t="s">
        <v>6736</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6960</v>
      </c>
      <c r="H7651" s="2" t="s">
        <v>6737</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6960</v>
      </c>
      <c r="H7652" s="2" t="s">
        <v>6738</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6960</v>
      </c>
      <c r="H7653" s="2" t="s">
        <v>6739</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6960</v>
      </c>
      <c r="H7654" s="2" t="s">
        <v>6740</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6960</v>
      </c>
      <c r="H7655" s="2" t="s">
        <v>6741</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6960</v>
      </c>
      <c r="H7656" s="2" t="s">
        <v>6742</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6960</v>
      </c>
      <c r="H7657" s="2" t="s">
        <v>6743</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6960</v>
      </c>
      <c r="H7658" s="2" t="s">
        <v>6744</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6960</v>
      </c>
      <c r="H7659" s="2" t="s">
        <v>6745</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6960</v>
      </c>
      <c r="H7660" s="2" t="s">
        <v>6746</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6960</v>
      </c>
      <c r="H7661" s="2" t="s">
        <v>6747</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6960</v>
      </c>
      <c r="H7662" s="2" t="s">
        <v>6748</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6960</v>
      </c>
      <c r="H7663" s="2" t="s">
        <v>6749</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6960</v>
      </c>
      <c r="H7664" s="2" t="s">
        <v>6750</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6960</v>
      </c>
      <c r="H7665" s="2" t="s">
        <v>6751</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6960</v>
      </c>
      <c r="H7666" s="2" t="s">
        <v>6752</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6960</v>
      </c>
      <c r="H7667" s="2" t="s">
        <v>6753</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6960</v>
      </c>
      <c r="H7668" s="2" t="s">
        <v>6754</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6960</v>
      </c>
      <c r="H7669" s="2" t="s">
        <v>6755</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6960</v>
      </c>
      <c r="H7670" s="2" t="s">
        <v>6756</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6960</v>
      </c>
      <c r="H7671" s="2" t="s">
        <v>6757</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6960</v>
      </c>
      <c r="H7672" s="2" t="s">
        <v>6758</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6960</v>
      </c>
      <c r="H7673" s="2" t="s">
        <v>6759</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6960</v>
      </c>
      <c r="H7674" s="2" t="s">
        <v>6760</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6960</v>
      </c>
      <c r="H7675" s="2" t="s">
        <v>6761</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6960</v>
      </c>
      <c r="H7676" s="2" t="s">
        <v>6762</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6960</v>
      </c>
      <c r="H7677" s="2" t="s">
        <v>6763</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6960</v>
      </c>
      <c r="H7678" s="2" t="s">
        <v>6764</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6960</v>
      </c>
      <c r="H7679" s="2" t="s">
        <v>6765</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6960</v>
      </c>
      <c r="H7680" s="2" t="s">
        <v>6766</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6960</v>
      </c>
      <c r="H7681" s="2" t="s">
        <v>6767</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6960</v>
      </c>
      <c r="H7682" s="2" t="s">
        <v>6768</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6960</v>
      </c>
      <c r="H7683" s="2" t="s">
        <v>6769</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6960</v>
      </c>
      <c r="H7684" s="2" t="s">
        <v>6770</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6960</v>
      </c>
      <c r="H7685" s="2" t="s">
        <v>6771</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6960</v>
      </c>
      <c r="H7686" s="2" t="s">
        <v>6772</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6960</v>
      </c>
      <c r="H7687" s="2" t="s">
        <v>6773</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6960</v>
      </c>
      <c r="H7688" s="2" t="s">
        <v>6774</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6960</v>
      </c>
      <c r="H7689" s="2" t="s">
        <v>6775</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6960</v>
      </c>
      <c r="H7690" s="2" t="s">
        <v>6776</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6960</v>
      </c>
      <c r="H7691" s="2" t="s">
        <v>6777</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6960</v>
      </c>
      <c r="H7692" s="2" t="s">
        <v>6778</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6960</v>
      </c>
      <c r="H7693" s="2" t="s">
        <v>6779</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6960</v>
      </c>
      <c r="H7694" s="2" t="s">
        <v>6780</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6960</v>
      </c>
      <c r="H7695" s="2" t="s">
        <v>6781</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6960</v>
      </c>
      <c r="H7696" s="2" t="s">
        <v>6782</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6960</v>
      </c>
      <c r="H7697" s="2" t="s">
        <v>6783</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6960</v>
      </c>
      <c r="H7698" s="2" t="s">
        <v>6784</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6960</v>
      </c>
      <c r="H7699" s="2" t="s">
        <v>6785</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6960</v>
      </c>
      <c r="H7700" s="2" t="s">
        <v>6786</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6960</v>
      </c>
      <c r="H7701" s="2" t="s">
        <v>6787</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6960</v>
      </c>
      <c r="H7702" s="2" t="s">
        <v>6788</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6960</v>
      </c>
      <c r="H7703" s="2" t="s">
        <v>6789</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6960</v>
      </c>
      <c r="H7704" s="2" t="s">
        <v>6790</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6960</v>
      </c>
      <c r="H7705" s="2" t="s">
        <v>6791</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6960</v>
      </c>
      <c r="H7706" s="2" t="s">
        <v>6792</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6960</v>
      </c>
      <c r="H7707" s="2" t="s">
        <v>6793</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6960</v>
      </c>
      <c r="H7708" s="2" t="s">
        <v>6794</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6960</v>
      </c>
      <c r="H7709" s="2" t="s">
        <v>6795</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6960</v>
      </c>
      <c r="H7710" s="2" t="s">
        <v>6796</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6960</v>
      </c>
      <c r="H7711" s="2" t="s">
        <v>6797</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6960</v>
      </c>
      <c r="H7712" s="2" t="s">
        <v>6798</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6960</v>
      </c>
      <c r="H7713" s="2" t="s">
        <v>6799</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6960</v>
      </c>
      <c r="H7714" s="2" t="s">
        <v>6800</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6960</v>
      </c>
      <c r="H7715" s="2" t="s">
        <v>6801</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6960</v>
      </c>
      <c r="H7716" s="2" t="s">
        <v>6802</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6960</v>
      </c>
      <c r="H7717" s="2" t="s">
        <v>6803</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6960</v>
      </c>
      <c r="H7718" s="2" t="s">
        <v>6804</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6960</v>
      </c>
      <c r="H7719" s="2" t="s">
        <v>6805</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6960</v>
      </c>
      <c r="H7720" s="2" t="s">
        <v>6806</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6960</v>
      </c>
      <c r="H7721" s="2" t="s">
        <v>6807</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6960</v>
      </c>
      <c r="H7722" s="2" t="s">
        <v>6808</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6960</v>
      </c>
      <c r="H7723" s="2" t="s">
        <v>6809</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6960</v>
      </c>
      <c r="H7724" s="2" t="s">
        <v>6810</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6960</v>
      </c>
      <c r="H7725" s="2" t="s">
        <v>6811</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6960</v>
      </c>
      <c r="H7726" s="2" t="s">
        <v>6812</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6960</v>
      </c>
      <c r="H7727" s="2" t="s">
        <v>6813</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6960</v>
      </c>
      <c r="H7728" s="2" t="s">
        <v>6814</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6960</v>
      </c>
      <c r="H7729" s="2" t="s">
        <v>6815</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6960</v>
      </c>
      <c r="H7730" s="2" t="s">
        <v>6816</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6960</v>
      </c>
      <c r="H7731" s="2" t="s">
        <v>6817</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6960</v>
      </c>
      <c r="H7732" s="2" t="s">
        <v>6818</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6960</v>
      </c>
      <c r="H7733" s="2" t="s">
        <v>6819</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6960</v>
      </c>
      <c r="H7734" s="2" t="s">
        <v>6820</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6960</v>
      </c>
      <c r="H7735" s="2" t="s">
        <v>6821</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6960</v>
      </c>
      <c r="H7736" s="2" t="s">
        <v>6822</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6960</v>
      </c>
      <c r="H7737" s="2" t="s">
        <v>6823</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6960</v>
      </c>
      <c r="H7738" s="2" t="s">
        <v>6824</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6960</v>
      </c>
      <c r="H7739" s="2" t="s">
        <v>6825</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6960</v>
      </c>
      <c r="H7740" s="2" t="s">
        <v>6826</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6960</v>
      </c>
      <c r="H7741" s="2" t="s">
        <v>6827</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6960</v>
      </c>
      <c r="H7742" s="2" t="s">
        <v>6828</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6960</v>
      </c>
      <c r="H7743" s="2" t="s">
        <v>6829</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6960</v>
      </c>
      <c r="H7744" s="2" t="s">
        <v>6830</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6960</v>
      </c>
      <c r="H7745" s="2" t="s">
        <v>6831</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6960</v>
      </c>
      <c r="H7746" s="2" t="s">
        <v>6832</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6960</v>
      </c>
      <c r="H7747" s="2" t="s">
        <v>6833</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6960</v>
      </c>
      <c r="H7748" s="2" t="s">
        <v>6834</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6960</v>
      </c>
      <c r="H7749" s="2" t="s">
        <v>6835</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6960</v>
      </c>
      <c r="H7750" s="2" t="s">
        <v>6836</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6960</v>
      </c>
      <c r="H7751" s="2" t="s">
        <v>6837</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6960</v>
      </c>
      <c r="H7752" s="2" t="s">
        <v>6838</v>
      </c>
      <c r="S7752" s="8"/>
    </row>
    <row r="7753" spans="1:19" x14ac:dyDescent="0.2">
      <c r="A7753">
        <v>7748</v>
      </c>
      <c r="B7753" s="8">
        <f>'EstExp 12-20'!K316</f>
        <v>0</v>
      </c>
      <c r="C7753" s="605">
        <f t="shared" si="221"/>
        <v>7748</v>
      </c>
      <c r="D7753" s="3" t="s">
        <v>786</v>
      </c>
      <c r="E7753" s="2" t="b">
        <f t="shared" ca="1" si="220"/>
        <v>1</v>
      </c>
      <c r="F7753" s="2" cm="1">
        <f t="array" aca="1" ref="F7753" ca="1">IF(G7753&lt;&gt;"",INDIRECT("'"&amp;G7753&amp;"'!"&amp;H7753),"")</f>
        <v>0</v>
      </c>
      <c r="G7753" s="1582" t="s">
        <v>6960</v>
      </c>
      <c r="H7753" s="2" t="s">
        <v>6839</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6960</v>
      </c>
      <c r="H7754" s="2" t="s">
        <v>6840</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6960</v>
      </c>
      <c r="H7755" s="2" t="s">
        <v>6841</v>
      </c>
      <c r="S7755" s="8"/>
    </row>
    <row r="7756" spans="1:19" x14ac:dyDescent="0.2">
      <c r="A7756">
        <v>7751</v>
      </c>
      <c r="B7756" s="8">
        <f>'EstExp 12-20'!K319</f>
        <v>0</v>
      </c>
      <c r="C7756" s="605">
        <f t="shared" si="221"/>
        <v>7751</v>
      </c>
      <c r="D7756" s="3" t="s">
        <v>786</v>
      </c>
      <c r="E7756" s="2" t="b">
        <f t="shared" ca="1" si="220"/>
        <v>1</v>
      </c>
      <c r="F7756" s="2" cm="1">
        <f t="array" aca="1" ref="F7756" ca="1">IF(G7756&lt;&gt;"",INDIRECT("'"&amp;G7756&amp;"'!"&amp;H7756),"")</f>
        <v>0</v>
      </c>
      <c r="G7756" s="1582" t="s">
        <v>6960</v>
      </c>
      <c r="H7756" s="2" t="s">
        <v>6842</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6960</v>
      </c>
      <c r="H7757" s="2" t="s">
        <v>6843</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6960</v>
      </c>
      <c r="H7758" s="2" t="s">
        <v>6844</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6960</v>
      </c>
      <c r="H7759" s="2" t="s">
        <v>6845</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6960</v>
      </c>
      <c r="H7760" s="2" t="s">
        <v>6846</v>
      </c>
      <c r="S7760" s="8"/>
    </row>
    <row r="7761" spans="1:19" x14ac:dyDescent="0.2">
      <c r="A7761">
        <v>7756</v>
      </c>
      <c r="B7761" s="8">
        <f>'EstExp 12-20'!K324</f>
        <v>0</v>
      </c>
      <c r="C7761" s="605">
        <f t="shared" si="221"/>
        <v>7756</v>
      </c>
      <c r="D7761" s="3" t="s">
        <v>786</v>
      </c>
      <c r="E7761" s="2" t="b">
        <f t="shared" ca="1" si="220"/>
        <v>1</v>
      </c>
      <c r="F7761" s="2" cm="1">
        <f t="array" aca="1" ref="F7761" ca="1">IF(G7761&lt;&gt;"",INDIRECT("'"&amp;G7761&amp;"'!"&amp;H7761),"")</f>
        <v>0</v>
      </c>
      <c r="G7761" s="1582" t="s">
        <v>6960</v>
      </c>
      <c r="H7761" s="2" t="s">
        <v>6847</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6960</v>
      </c>
      <c r="H7762" s="2" t="s">
        <v>6848</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6960</v>
      </c>
      <c r="H7763" s="2" t="s">
        <v>6849</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6960</v>
      </c>
      <c r="H7764" s="2" t="s">
        <v>6850</v>
      </c>
      <c r="S7764" s="8"/>
    </row>
    <row r="7765" spans="1:19" x14ac:dyDescent="0.2">
      <c r="A7765">
        <v>7760</v>
      </c>
      <c r="B7765" s="8">
        <f>'EstExp 12-20'!K328</f>
        <v>0</v>
      </c>
      <c r="C7765" s="605">
        <f t="shared" si="221"/>
        <v>7760</v>
      </c>
      <c r="D7765" s="3" t="s">
        <v>786</v>
      </c>
      <c r="E7765" s="2" t="b">
        <f t="shared" ca="1" si="220"/>
        <v>1</v>
      </c>
      <c r="F7765" s="2" cm="1">
        <f t="array" aca="1" ref="F7765" ca="1">IF(G7765&lt;&gt;"",INDIRECT("'"&amp;G7765&amp;"'!"&amp;H7765),"")</f>
        <v>0</v>
      </c>
      <c r="G7765" s="1582" t="s">
        <v>6960</v>
      </c>
      <c r="H7765" s="2" t="s">
        <v>6851</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6960</v>
      </c>
      <c r="H7766" s="2" t="s">
        <v>6852</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6960</v>
      </c>
      <c r="H7767" s="2" t="s">
        <v>6853</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6960</v>
      </c>
      <c r="H7768" s="2" t="s">
        <v>6854</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6960</v>
      </c>
      <c r="H7769" s="2" t="s">
        <v>6855</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6960</v>
      </c>
      <c r="H7770" s="2" t="s">
        <v>6856</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6960</v>
      </c>
      <c r="H7771" s="2" t="s">
        <v>6857</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6960</v>
      </c>
      <c r="H7772" s="2" t="s">
        <v>6858</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6960</v>
      </c>
      <c r="H7773" s="2" t="s">
        <v>6859</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6960</v>
      </c>
      <c r="H7774" s="2" t="s">
        <v>6860</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6960</v>
      </c>
      <c r="H7775" s="2" t="s">
        <v>6861</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6960</v>
      </c>
      <c r="H7776" s="2" t="s">
        <v>6862</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6960</v>
      </c>
      <c r="H7777" s="2" t="s">
        <v>6863</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6960</v>
      </c>
      <c r="H7778" s="2" t="s">
        <v>6864</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6960</v>
      </c>
      <c r="H7779" s="2" t="s">
        <v>6865</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6960</v>
      </c>
      <c r="H7780" s="2" t="s">
        <v>6866</v>
      </c>
      <c r="S7780" s="8"/>
    </row>
    <row r="7781" spans="1:19" x14ac:dyDescent="0.2">
      <c r="A7781">
        <v>7776</v>
      </c>
      <c r="B7781" s="8">
        <f>'EstExp 12-20'!K344</f>
        <v>0</v>
      </c>
      <c r="C7781" s="605">
        <f t="shared" si="221"/>
        <v>7776</v>
      </c>
      <c r="D7781" s="3" t="s">
        <v>786</v>
      </c>
      <c r="E7781" s="2" t="b">
        <f t="shared" ca="1" si="220"/>
        <v>1</v>
      </c>
      <c r="F7781" s="2" cm="1">
        <f t="array" aca="1" ref="F7781" ca="1">IF(G7781&lt;&gt;"",INDIRECT("'"&amp;G7781&amp;"'!"&amp;H7781),"")</f>
        <v>0</v>
      </c>
      <c r="G7781" s="1582" t="s">
        <v>6960</v>
      </c>
      <c r="H7781" s="2" t="s">
        <v>6867</v>
      </c>
      <c r="S7781" s="8"/>
    </row>
    <row r="7782" spans="1:19" x14ac:dyDescent="0.2">
      <c r="A7782">
        <v>7777</v>
      </c>
      <c r="B7782" s="8">
        <f>'EstExp 12-20'!K347</f>
        <v>0</v>
      </c>
      <c r="C7782" s="605">
        <f t="shared" si="221"/>
        <v>7777</v>
      </c>
      <c r="D7782" s="3" t="s">
        <v>786</v>
      </c>
      <c r="E7782" s="2" t="b">
        <f t="shared" ca="1" si="220"/>
        <v>1</v>
      </c>
      <c r="F7782" s="2" cm="1">
        <f t="array" aca="1" ref="F7782" ca="1">IF(G7782&lt;&gt;"",INDIRECT("'"&amp;G7782&amp;"'!"&amp;H7782),"")</f>
        <v>0</v>
      </c>
      <c r="G7782" s="1582" t="s">
        <v>6960</v>
      </c>
      <c r="H7782" s="2" t="s">
        <v>6868</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6960</v>
      </c>
      <c r="H7783" s="2" t="s">
        <v>6869</v>
      </c>
      <c r="S7783" s="8"/>
    </row>
    <row r="7784" spans="1:19" x14ac:dyDescent="0.2">
      <c r="A7784">
        <v>7779</v>
      </c>
      <c r="B7784" s="8">
        <f>'EstExp 12-20'!K349</f>
        <v>0</v>
      </c>
      <c r="C7784" s="605">
        <f t="shared" si="221"/>
        <v>7779</v>
      </c>
      <c r="D7784" s="3" t="s">
        <v>786</v>
      </c>
      <c r="E7784" s="2" t="b">
        <f t="shared" ca="1" si="220"/>
        <v>1</v>
      </c>
      <c r="F7784" s="2" cm="1">
        <f t="array" aca="1" ref="F7784" ca="1">IF(G7784&lt;&gt;"",INDIRECT("'"&amp;G7784&amp;"'!"&amp;H7784),"")</f>
        <v>0</v>
      </c>
      <c r="G7784" s="1582" t="s">
        <v>6960</v>
      </c>
      <c r="H7784" s="2" t="s">
        <v>6870</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6960</v>
      </c>
      <c r="H7785" s="2" t="s">
        <v>6871</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6960</v>
      </c>
      <c r="H7786" s="2" t="s">
        <v>6872</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6960</v>
      </c>
      <c r="H7787" s="2" t="s">
        <v>6873</v>
      </c>
      <c r="S7787" s="8"/>
    </row>
    <row r="7788" spans="1:19" x14ac:dyDescent="0.2">
      <c r="A7788">
        <v>7783</v>
      </c>
      <c r="B7788" s="8">
        <f>'EstExp 12-20'!K353</f>
        <v>0</v>
      </c>
      <c r="C7788" s="605">
        <f t="shared" si="221"/>
        <v>7783</v>
      </c>
      <c r="D7788" s="3" t="s">
        <v>786</v>
      </c>
      <c r="E7788" s="2" t="b">
        <f t="shared" ca="1" si="220"/>
        <v>1</v>
      </c>
      <c r="F7788" s="2" cm="1">
        <f t="array" aca="1" ref="F7788" ca="1">IF(G7788&lt;&gt;"",INDIRECT("'"&amp;G7788&amp;"'!"&amp;H7788),"")</f>
        <v>0</v>
      </c>
      <c r="G7788" s="1582" t="s">
        <v>6960</v>
      </c>
      <c r="H7788" s="2" t="s">
        <v>6874</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6960</v>
      </c>
      <c r="H7789" s="2" t="s">
        <v>6875</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6960</v>
      </c>
      <c r="H7790" s="2" t="s">
        <v>6876</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6960</v>
      </c>
      <c r="H7791" s="2" t="s">
        <v>6877</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6960</v>
      </c>
      <c r="H7792" s="2" t="s">
        <v>6878</v>
      </c>
      <c r="S7792" s="8"/>
    </row>
    <row r="7793" spans="1:19" x14ac:dyDescent="0.2">
      <c r="A7793">
        <v>7788</v>
      </c>
      <c r="B7793" s="8">
        <f>'EstExp 12-20'!K360</f>
        <v>0</v>
      </c>
      <c r="C7793" s="605">
        <f t="shared" si="221"/>
        <v>7788</v>
      </c>
      <c r="D7793" s="3" t="s">
        <v>786</v>
      </c>
      <c r="E7793" s="2" t="b">
        <f t="shared" ca="1" si="220"/>
        <v>1</v>
      </c>
      <c r="F7793" s="2" cm="1">
        <f t="array" aca="1" ref="F7793" ca="1">IF(G7793&lt;&gt;"",INDIRECT("'"&amp;G7793&amp;"'!"&amp;H7793),"")</f>
        <v>0</v>
      </c>
      <c r="G7793" s="1582" t="s">
        <v>6960</v>
      </c>
      <c r="H7793" s="2" t="s">
        <v>6879</v>
      </c>
      <c r="S7793" s="8"/>
    </row>
    <row r="7794" spans="1:19" x14ac:dyDescent="0.2">
      <c r="A7794">
        <v>7789</v>
      </c>
      <c r="B7794" s="8">
        <f>'EstExp 12-20'!K361</f>
        <v>0</v>
      </c>
      <c r="C7794" s="605">
        <f t="shared" si="221"/>
        <v>7789</v>
      </c>
      <c r="D7794" s="3" t="s">
        <v>786</v>
      </c>
      <c r="E7794" s="2" t="b">
        <f t="shared" ca="1" si="220"/>
        <v>1</v>
      </c>
      <c r="F7794" s="2" cm="1">
        <f t="array" aca="1" ref="F7794" ca="1">IF(G7794&lt;&gt;"",INDIRECT("'"&amp;G7794&amp;"'!"&amp;H7794),"")</f>
        <v>0</v>
      </c>
      <c r="G7794" s="1582" t="s">
        <v>6960</v>
      </c>
      <c r="H7794" s="2" t="s">
        <v>6880</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6960</v>
      </c>
      <c r="H7795" s="2" t="s">
        <v>6881</v>
      </c>
      <c r="S7795" s="8"/>
    </row>
    <row r="7796" spans="1:19" x14ac:dyDescent="0.2">
      <c r="A7796">
        <v>7791</v>
      </c>
      <c r="B7796" s="8">
        <f>'EstExp 12-20'!K367</f>
        <v>0</v>
      </c>
      <c r="C7796" s="605">
        <f t="shared" si="221"/>
        <v>7791</v>
      </c>
      <c r="D7796" s="3" t="s">
        <v>786</v>
      </c>
      <c r="E7796" s="2" t="b">
        <f t="shared" ca="1" si="220"/>
        <v>1</v>
      </c>
      <c r="F7796" s="2" cm="1">
        <f t="array" aca="1" ref="F7796" ca="1">IF(G7796&lt;&gt;"",INDIRECT("'"&amp;G7796&amp;"'!"&amp;H7796),"")</f>
        <v>0</v>
      </c>
      <c r="G7796" s="1582" t="s">
        <v>6960</v>
      </c>
      <c r="H7796" s="2" t="s">
        <v>6882</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6960</v>
      </c>
      <c r="H7797" s="2" t="s">
        <v>6883</v>
      </c>
      <c r="S7797" s="8"/>
    </row>
    <row r="7798" spans="1:19" x14ac:dyDescent="0.2">
      <c r="A7798">
        <v>7793</v>
      </c>
      <c r="B7798" s="8">
        <f>'EstExp 12-20'!K369</f>
        <v>0</v>
      </c>
      <c r="C7798" s="605">
        <f t="shared" si="221"/>
        <v>7793</v>
      </c>
      <c r="D7798" s="3" t="s">
        <v>786</v>
      </c>
      <c r="E7798" s="2" t="b">
        <f t="shared" ca="1" si="220"/>
        <v>1</v>
      </c>
      <c r="F7798" s="2" cm="1">
        <f t="array" aca="1" ref="F7798" ca="1">IF(G7798&lt;&gt;"",INDIRECT("'"&amp;G7798&amp;"'!"&amp;H7798),"")</f>
        <v>0</v>
      </c>
      <c r="G7798" s="1582" t="s">
        <v>6960</v>
      </c>
      <c r="H7798" s="2" t="s">
        <v>6884</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6960</v>
      </c>
      <c r="H7799" s="2" t="s">
        <v>6885</v>
      </c>
      <c r="S7799" s="8"/>
    </row>
    <row r="7800" spans="1:19" x14ac:dyDescent="0.2">
      <c r="A7800">
        <v>7795</v>
      </c>
      <c r="B7800" s="8">
        <f>'EstExp 12-20'!K372</f>
        <v>0</v>
      </c>
      <c r="C7800" s="605">
        <f t="shared" si="221"/>
        <v>7795</v>
      </c>
      <c r="D7800" s="3" t="s">
        <v>786</v>
      </c>
      <c r="E7800" s="2" t="b">
        <f t="shared" ca="1" si="220"/>
        <v>1</v>
      </c>
      <c r="F7800" s="2" cm="1">
        <f t="array" aca="1" ref="F7800" ca="1">IF(G7800&lt;&gt;"",INDIRECT("'"&amp;G7800&amp;"'!"&amp;H7800),"")</f>
        <v>0</v>
      </c>
      <c r="G7800" s="1582" t="s">
        <v>6960</v>
      </c>
      <c r="H7800" s="2" t="s">
        <v>6886</v>
      </c>
      <c r="S7800" s="8"/>
    </row>
    <row r="7801" spans="1:19" x14ac:dyDescent="0.2">
      <c r="A7801">
        <v>7796</v>
      </c>
      <c r="B7801" s="8">
        <f>'EstExp 12-20'!K374</f>
        <v>0</v>
      </c>
      <c r="C7801" s="605">
        <f t="shared" si="221"/>
        <v>7796</v>
      </c>
      <c r="D7801" s="3" t="s">
        <v>786</v>
      </c>
      <c r="E7801" s="2" t="b">
        <f t="shared" ca="1" si="220"/>
        <v>1</v>
      </c>
      <c r="F7801" s="2" cm="1">
        <f t="array" aca="1" ref="F7801" ca="1">IF(G7801&lt;&gt;"",INDIRECT("'"&amp;G7801&amp;"'!"&amp;H7801),"")</f>
        <v>0</v>
      </c>
      <c r="G7801" s="1582" t="s">
        <v>6960</v>
      </c>
      <c r="H7801" s="2" t="s">
        <v>6887</v>
      </c>
      <c r="S7801" s="8"/>
    </row>
    <row r="7802" spans="1:19" x14ac:dyDescent="0.2">
      <c r="A7802">
        <v>7797</v>
      </c>
      <c r="B7802" s="8">
        <f>'EstExp 12-20'!K375</f>
        <v>0</v>
      </c>
      <c r="C7802" s="605">
        <f t="shared" si="221"/>
        <v>7797</v>
      </c>
      <c r="D7802" s="3" t="s">
        <v>786</v>
      </c>
      <c r="E7802" s="2" t="b">
        <f t="shared" ca="1" si="220"/>
        <v>1</v>
      </c>
      <c r="F7802" s="2" cm="1">
        <f t="array" aca="1" ref="F7802" ca="1">IF(G7802&lt;&gt;"",INDIRECT("'"&amp;G7802&amp;"'!"&amp;H7802),"")</f>
        <v>0</v>
      </c>
      <c r="G7802" s="1582" t="s">
        <v>6960</v>
      </c>
      <c r="H7802" s="2" t="s">
        <v>6888</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6960</v>
      </c>
      <c r="H7803" s="2" t="s">
        <v>6889</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6960</v>
      </c>
      <c r="H7804" s="2" t="s">
        <v>6890</v>
      </c>
      <c r="S7804" s="8"/>
    </row>
    <row r="7805" spans="1:19" x14ac:dyDescent="0.2">
      <c r="A7805">
        <v>7800</v>
      </c>
      <c r="B7805" s="8">
        <f>'EstExp 12-20'!K378</f>
        <v>0</v>
      </c>
      <c r="C7805" s="605">
        <f t="shared" si="221"/>
        <v>7800</v>
      </c>
      <c r="D7805" s="3" t="s">
        <v>786</v>
      </c>
      <c r="E7805" s="2" t="b">
        <f t="shared" ca="1" si="220"/>
        <v>1</v>
      </c>
      <c r="F7805" s="2" cm="1">
        <f t="array" aca="1" ref="F7805" ca="1">IF(G7805&lt;&gt;"",INDIRECT("'"&amp;G7805&amp;"'!"&amp;H7805),"")</f>
        <v>0</v>
      </c>
      <c r="G7805" s="1582" t="s">
        <v>6960</v>
      </c>
      <c r="H7805" s="2" t="s">
        <v>6891</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6960</v>
      </c>
      <c r="H7806" s="2" t="s">
        <v>6892</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6960</v>
      </c>
      <c r="H7807" s="2" t="s">
        <v>6893</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6960</v>
      </c>
      <c r="H7808" s="2" t="s">
        <v>6894</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6960</v>
      </c>
      <c r="H7809" s="2" t="s">
        <v>6895</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6960</v>
      </c>
      <c r="H7810" s="2" t="s">
        <v>6896</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6960</v>
      </c>
      <c r="H7811" s="2" t="s">
        <v>6897</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6960</v>
      </c>
      <c r="H7812" s="2" t="s">
        <v>6898</v>
      </c>
      <c r="S7812" s="8"/>
    </row>
    <row r="7813" spans="1:19" x14ac:dyDescent="0.2">
      <c r="A7813">
        <v>7808</v>
      </c>
      <c r="B7813" s="8">
        <f>'EstExp 12-20'!K387</f>
        <v>149000</v>
      </c>
      <c r="C7813" s="605">
        <f t="shared" si="223"/>
        <v>-141192</v>
      </c>
      <c r="D7813" s="3" t="s">
        <v>786</v>
      </c>
      <c r="E7813" s="2" t="b">
        <f t="shared" ca="1" si="222"/>
        <v>1</v>
      </c>
      <c r="F7813" s="2" cm="1">
        <f t="array" aca="1" ref="F7813" ca="1">IF(G7813&lt;&gt;"",INDIRECT("'"&amp;G7813&amp;"'!"&amp;H7813),"")</f>
        <v>149000</v>
      </c>
      <c r="G7813" s="1582" t="s">
        <v>6960</v>
      </c>
      <c r="H7813" s="2" t="s">
        <v>6899</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6960</v>
      </c>
      <c r="H7814" s="2" t="s">
        <v>6900</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6960</v>
      </c>
      <c r="H7815" s="2" t="s">
        <v>6901</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6960</v>
      </c>
      <c r="H7816" s="2" t="s">
        <v>6902</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6960</v>
      </c>
      <c r="H7817" s="2" t="s">
        <v>6903</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6960</v>
      </c>
      <c r="H7818" s="2" t="s">
        <v>6904</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6960</v>
      </c>
      <c r="H7820" s="2" t="s">
        <v>6905</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6960</v>
      </c>
      <c r="H7821" s="2" t="s">
        <v>6906</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6960</v>
      </c>
      <c r="H7822" s="2" t="s">
        <v>6907</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6960</v>
      </c>
      <c r="H7823" s="2" t="s">
        <v>6908</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6960</v>
      </c>
      <c r="H7824" s="2" t="s">
        <v>6909</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6960</v>
      </c>
      <c r="H7825" s="2" t="s">
        <v>6910</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6960</v>
      </c>
      <c r="H7826" s="2" t="s">
        <v>6911</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6960</v>
      </c>
      <c r="H7827" s="2" t="s">
        <v>6912</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6960</v>
      </c>
      <c r="H7828" s="2" t="s">
        <v>6913</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6960</v>
      </c>
      <c r="H7829" s="2" t="s">
        <v>6914</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6960</v>
      </c>
      <c r="H7830" s="2" t="s">
        <v>6915</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6960</v>
      </c>
      <c r="H7831" s="2" t="s">
        <v>6916</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6960</v>
      </c>
      <c r="H7832" s="2" t="s">
        <v>6917</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6960</v>
      </c>
      <c r="H7833" s="2" t="s">
        <v>6918</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6960</v>
      </c>
      <c r="H7834" s="2" t="s">
        <v>6919</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6960</v>
      </c>
      <c r="H7835" s="2" t="s">
        <v>6920</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6960</v>
      </c>
      <c r="H7836" s="2" t="s">
        <v>6921</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6960</v>
      </c>
      <c r="H7837" s="2" t="s">
        <v>6922</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6960</v>
      </c>
      <c r="H7838" s="2" t="s">
        <v>6923</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6960</v>
      </c>
      <c r="H7839" s="2" t="s">
        <v>6924</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6960</v>
      </c>
      <c r="H7840" s="2" t="s">
        <v>6925</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6960</v>
      </c>
      <c r="H7841" s="2" t="s">
        <v>6926</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6960</v>
      </c>
      <c r="H7842" s="2" t="s">
        <v>5737</v>
      </c>
      <c r="S7842" s="8"/>
    </row>
    <row r="7843" spans="1:19" x14ac:dyDescent="0.2">
      <c r="A7843">
        <v>7838</v>
      </c>
      <c r="B7843" s="8">
        <f>'EstRev 6-11'!C273</f>
        <v>5486500</v>
      </c>
      <c r="C7843" s="605">
        <f t="shared" si="223"/>
        <v>-5478662</v>
      </c>
      <c r="D7843" s="3" t="s">
        <v>797</v>
      </c>
      <c r="E7843" s="2" t="b">
        <f t="shared" ca="1" si="222"/>
        <v>1</v>
      </c>
      <c r="F7843" s="2" cm="1">
        <f t="array" aca="1" ref="F7843" ca="1">IF(G7843&lt;&gt;"",INDIRECT("'"&amp;G7843&amp;"'!"&amp;H7843),"")</f>
        <v>5486500</v>
      </c>
      <c r="G7843" s="1582" t="s">
        <v>6961</v>
      </c>
      <c r="H7843" s="2" t="s">
        <v>6927</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6958</v>
      </c>
      <c r="H7844" s="2" t="s">
        <v>6928</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6958</v>
      </c>
      <c r="H7845" s="2" t="s">
        <v>6929</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6961</v>
      </c>
      <c r="H7846" s="2" t="s">
        <v>6317</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6960</v>
      </c>
      <c r="H7847" s="2" t="s">
        <v>6930</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6960</v>
      </c>
      <c r="H7848" s="2" t="s">
        <v>6931</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6960</v>
      </c>
      <c r="H7849" s="2" t="s">
        <v>6932</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6960</v>
      </c>
      <c r="H7850" s="2" t="s">
        <v>6933</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6960</v>
      </c>
      <c r="H7851" s="2" t="s">
        <v>6934</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6960</v>
      </c>
      <c r="H7852" s="2" t="s">
        <v>6935</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6960</v>
      </c>
      <c r="H7853" s="2" t="s">
        <v>6936</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6960</v>
      </c>
      <c r="H7854" s="2" t="s">
        <v>6937</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6960</v>
      </c>
      <c r="H7855" s="2" t="s">
        <v>6938</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6960</v>
      </c>
      <c r="H7856" s="2" t="s">
        <v>6939</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6960</v>
      </c>
      <c r="H7857" s="2" t="s">
        <v>6940</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6960</v>
      </c>
      <c r="H7858" s="2" t="s">
        <v>6941</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6960</v>
      </c>
      <c r="H7859" s="2" t="s">
        <v>6942</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6960</v>
      </c>
      <c r="H7860" s="2" t="s">
        <v>6943</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6960</v>
      </c>
      <c r="H7861" s="2" t="s">
        <v>6944</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6960</v>
      </c>
      <c r="H7862" s="2" t="s">
        <v>6945</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6960</v>
      </c>
      <c r="H7863" s="2" t="s">
        <v>6946</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6960</v>
      </c>
      <c r="H7864" s="2" t="s">
        <v>6947</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6960</v>
      </c>
      <c r="H7865" s="2" t="s">
        <v>6948</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6960</v>
      </c>
      <c r="H7866" s="2" t="s">
        <v>6949</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6960</v>
      </c>
      <c r="H7867" s="2" t="s">
        <v>6950</v>
      </c>
      <c r="S7867" s="8"/>
    </row>
    <row r="7868" spans="1:19" x14ac:dyDescent="0.2">
      <c r="A7868">
        <v>7863</v>
      </c>
      <c r="B7868" s="8">
        <f>'EstRev 6-11'!C209</f>
        <v>0</v>
      </c>
      <c r="C7868" s="605">
        <f t="shared" si="223"/>
        <v>7863</v>
      </c>
      <c r="D7868" s="3" t="s">
        <v>4405</v>
      </c>
      <c r="E7868" s="2" t="b">
        <f t="shared" ca="1" si="222"/>
        <v>1</v>
      </c>
      <c r="F7868" s="2" cm="1">
        <f t="array" aca="1" ref="F7868" ca="1">IF(G7868&lt;&gt;"",INDIRECT("'"&amp;G7868&amp;"'!"&amp;H7868),"")</f>
        <v>0</v>
      </c>
      <c r="G7868" s="1582" t="s">
        <v>6961</v>
      </c>
      <c r="H7868" s="2" t="s">
        <v>6951</v>
      </c>
      <c r="S7868" s="8"/>
    </row>
    <row r="7869" spans="1:19" x14ac:dyDescent="0.2">
      <c r="A7869">
        <v>7864</v>
      </c>
      <c r="B7869" s="8">
        <f>'EstRev 6-11'!D209</f>
        <v>0</v>
      </c>
      <c r="C7869" s="605">
        <f t="shared" si="223"/>
        <v>7864</v>
      </c>
      <c r="D7869" s="3" t="s">
        <v>4405</v>
      </c>
      <c r="E7869" s="2" t="b">
        <f t="shared" ca="1" si="222"/>
        <v>1</v>
      </c>
      <c r="F7869" s="2" cm="1">
        <f t="array" aca="1" ref="F7869" ca="1">IF(G7869&lt;&gt;"",INDIRECT("'"&amp;G7869&amp;"'!"&amp;H7869),"")</f>
        <v>0</v>
      </c>
      <c r="G7869" s="1582" t="s">
        <v>6961</v>
      </c>
      <c r="H7869" s="2" t="s">
        <v>6952</v>
      </c>
      <c r="S7869" s="8"/>
    </row>
    <row r="7870" spans="1:19" x14ac:dyDescent="0.2">
      <c r="A7870">
        <v>7865</v>
      </c>
      <c r="B7870" s="8">
        <f>'EstRev 6-11'!F209</f>
        <v>0</v>
      </c>
      <c r="C7870" s="605">
        <f t="shared" si="223"/>
        <v>7865</v>
      </c>
      <c r="D7870" s="3" t="s">
        <v>4405</v>
      </c>
      <c r="E7870" s="2" t="b">
        <f t="shared" ca="1" si="222"/>
        <v>1</v>
      </c>
      <c r="F7870" s="2" cm="1">
        <f t="array" aca="1" ref="F7870" ca="1">IF(G7870&lt;&gt;"",INDIRECT("'"&amp;G7870&amp;"'!"&amp;H7870),"")</f>
        <v>0</v>
      </c>
      <c r="G7870" s="1582" t="s">
        <v>6961</v>
      </c>
      <c r="H7870" s="2" t="s">
        <v>6953</v>
      </c>
      <c r="S7870" s="8"/>
    </row>
    <row r="7871" spans="1:19" x14ac:dyDescent="0.2">
      <c r="A7871">
        <v>7866</v>
      </c>
      <c r="B7871" s="8">
        <f>'EstRev 6-11'!G209</f>
        <v>0</v>
      </c>
      <c r="C7871" s="605">
        <f t="shared" si="223"/>
        <v>7866</v>
      </c>
      <c r="D7871" s="3" t="s">
        <v>4405</v>
      </c>
      <c r="E7871" s="2" t="b">
        <f t="shared" ca="1" si="222"/>
        <v>1</v>
      </c>
      <c r="F7871" s="2" cm="1">
        <f t="array" aca="1" ref="F7871" ca="1">IF(G7871&lt;&gt;"",INDIRECT("'"&amp;G7871&amp;"'!"&amp;H7871),"")</f>
        <v>0</v>
      </c>
      <c r="G7871" s="1582" t="s">
        <v>6961</v>
      </c>
      <c r="H7871" s="2" t="s">
        <v>6954</v>
      </c>
      <c r="S7871" s="8"/>
    </row>
    <row r="7872" spans="1:19" x14ac:dyDescent="0.2">
      <c r="A7872">
        <v>7867</v>
      </c>
      <c r="B7872" s="8">
        <f>'EstRev 6-11'!C263</f>
        <v>0</v>
      </c>
      <c r="C7872" s="605">
        <f t="shared" si="223"/>
        <v>7867</v>
      </c>
      <c r="D7872" s="3" t="s">
        <v>4406</v>
      </c>
      <c r="E7872" s="2" t="b">
        <f t="shared" ca="1" si="222"/>
        <v>1</v>
      </c>
      <c r="F7872" s="2" cm="1">
        <f t="array" aca="1" ref="F7872" ca="1">IF(G7872&lt;&gt;"",INDIRECT("'"&amp;G7872&amp;"'!"&amp;H7872),"")</f>
        <v>0</v>
      </c>
      <c r="G7872" s="1582" t="s">
        <v>6961</v>
      </c>
      <c r="H7872" s="2" t="s">
        <v>6955</v>
      </c>
      <c r="S7872" s="8"/>
    </row>
    <row r="7873" spans="1:19" x14ac:dyDescent="0.2">
      <c r="A7873">
        <v>7868</v>
      </c>
      <c r="B7873" s="8">
        <f>'EstRev 6-11'!D263</f>
        <v>0</v>
      </c>
      <c r="C7873" s="605">
        <f t="shared" si="223"/>
        <v>7868</v>
      </c>
      <c r="D7873" s="3" t="s">
        <v>4406</v>
      </c>
      <c r="E7873" s="2" t="b">
        <f t="shared" ca="1" si="222"/>
        <v>1</v>
      </c>
      <c r="F7873" s="2" cm="1">
        <f t="array" aca="1" ref="F7873" ca="1">IF(G7873&lt;&gt;"",INDIRECT("'"&amp;G7873&amp;"'!"&amp;H7873),"")</f>
        <v>0</v>
      </c>
      <c r="G7873" s="1582" t="s">
        <v>6961</v>
      </c>
      <c r="H7873" s="2" t="s">
        <v>4955</v>
      </c>
      <c r="S7873" s="8"/>
    </row>
    <row r="7874" spans="1:19" x14ac:dyDescent="0.2">
      <c r="A7874">
        <v>7869</v>
      </c>
      <c r="B7874" s="8">
        <f>'EstRev 6-11'!F263</f>
        <v>0</v>
      </c>
      <c r="C7874" s="605">
        <f t="shared" si="223"/>
        <v>7869</v>
      </c>
      <c r="D7874" s="3" t="s">
        <v>4406</v>
      </c>
      <c r="E7874" s="2" t="b">
        <f t="shared" ref="E7874:E7937" ca="1" si="224">F7874=B7874</f>
        <v>1</v>
      </c>
      <c r="F7874" s="2" cm="1">
        <f t="array" aca="1" ref="F7874" ca="1">IF(G7874&lt;&gt;"",INDIRECT("'"&amp;G7874&amp;"'!"&amp;H7874),"")</f>
        <v>0</v>
      </c>
      <c r="G7874" s="1582" t="s">
        <v>6961</v>
      </c>
      <c r="H7874" s="2" t="s">
        <v>6956</v>
      </c>
      <c r="S7874" s="8"/>
    </row>
    <row r="7875" spans="1:19" x14ac:dyDescent="0.2">
      <c r="A7875">
        <v>7870</v>
      </c>
      <c r="B7875" s="8">
        <f>'EstRev 6-11'!G263</f>
        <v>0</v>
      </c>
      <c r="C7875" s="605">
        <f t="shared" si="223"/>
        <v>7870</v>
      </c>
      <c r="D7875" s="3" t="s">
        <v>4406</v>
      </c>
      <c r="E7875" s="2" t="b">
        <f t="shared" ca="1" si="224"/>
        <v>1</v>
      </c>
      <c r="F7875" s="2" cm="1">
        <f t="array" aca="1" ref="F7875" ca="1">IF(G7875&lt;&gt;"",INDIRECT("'"&amp;G7875&amp;"'!"&amp;H7875),"")</f>
        <v>0</v>
      </c>
      <c r="G7875" s="1582" t="s">
        <v>6961</v>
      </c>
      <c r="H7875" s="2" t="s">
        <v>6957</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phoneticPr fontId="12"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3"/>
  <sheetViews>
    <sheetView showGridLines="0" zoomScaleNormal="100" workbookViewId="0"/>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5936882</v>
      </c>
      <c r="D3" s="187">
        <v>1109562</v>
      </c>
      <c r="E3" s="187">
        <v>140269</v>
      </c>
      <c r="F3" s="187">
        <v>489804</v>
      </c>
      <c r="G3" s="187">
        <v>153257</v>
      </c>
      <c r="H3" s="187">
        <v>0</v>
      </c>
      <c r="I3" s="187">
        <v>456568</v>
      </c>
      <c r="J3" s="187">
        <v>286639</v>
      </c>
      <c r="K3" s="187">
        <v>22687</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4133500</v>
      </c>
      <c r="D5" s="189">
        <f>'EstRev 6-11'!D111</f>
        <v>650781</v>
      </c>
      <c r="E5" s="189">
        <f>'EstRev 6-11'!E111</f>
        <v>0</v>
      </c>
      <c r="F5" s="189">
        <f>'EstRev 6-11'!F111</f>
        <v>208000</v>
      </c>
      <c r="G5" s="189">
        <f>'EstRev 6-11'!G111</f>
        <v>206000</v>
      </c>
      <c r="H5" s="189">
        <f>'EstRev 6-11'!H111</f>
        <v>0</v>
      </c>
      <c r="I5" s="189">
        <f>'EstRev 6-11'!I111</f>
        <v>41000</v>
      </c>
      <c r="J5" s="189">
        <f>'EstRev 6-11'!J111</f>
        <v>149000</v>
      </c>
      <c r="K5" s="189">
        <f>'EstRev 6-11'!K111</f>
        <v>0</v>
      </c>
    </row>
    <row r="6" spans="1:11" s="665" customFormat="1" ht="24" x14ac:dyDescent="0.2">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885300</v>
      </c>
      <c r="D7" s="189">
        <f>'EstRev 6-11'!D172</f>
        <v>0</v>
      </c>
      <c r="E7" s="189">
        <f>'EstRev 6-11'!E172</f>
        <v>0</v>
      </c>
      <c r="F7" s="189">
        <f>'EstRev 6-11'!F172</f>
        <v>105000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467700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5486500</v>
      </c>
      <c r="D9" s="192">
        <f t="shared" ref="D9:K9" si="0">SUM(D5:D8)</f>
        <v>650781</v>
      </c>
      <c r="E9" s="192">
        <f t="shared" si="0"/>
        <v>0</v>
      </c>
      <c r="F9" s="192">
        <f t="shared" si="0"/>
        <v>313000</v>
      </c>
      <c r="G9" s="192">
        <f t="shared" si="0"/>
        <v>206000</v>
      </c>
      <c r="H9" s="192">
        <f t="shared" si="0"/>
        <v>0</v>
      </c>
      <c r="I9" s="192">
        <f t="shared" si="0"/>
        <v>41000</v>
      </c>
      <c r="J9" s="192">
        <f t="shared" si="0"/>
        <v>149000</v>
      </c>
      <c r="K9" s="192">
        <f t="shared" si="0"/>
        <v>0</v>
      </c>
    </row>
    <row r="10" spans="1:11" s="650" customFormat="1" ht="15.75" thickTop="1" x14ac:dyDescent="0.2">
      <c r="A10" s="674" t="s">
        <v>675</v>
      </c>
      <c r="B10" s="675">
        <v>3998</v>
      </c>
      <c r="C10" s="760">
        <v>945990</v>
      </c>
      <c r="D10" s="760"/>
      <c r="E10" s="760"/>
      <c r="F10" s="760"/>
      <c r="G10" s="760"/>
      <c r="H10" s="760"/>
      <c r="I10" s="193"/>
      <c r="J10" s="760"/>
      <c r="K10" s="760"/>
    </row>
    <row r="11" spans="1:11" s="650" customFormat="1" ht="12.75" customHeight="1" thickBot="1" x14ac:dyDescent="0.25">
      <c r="A11" s="672" t="s">
        <v>446</v>
      </c>
      <c r="B11" s="677"/>
      <c r="C11" s="194">
        <f>SUM(C9:C10)</f>
        <v>6432490</v>
      </c>
      <c r="D11" s="194">
        <f t="shared" ref="D11:K11" si="1">SUM(D9:D10)</f>
        <v>650781</v>
      </c>
      <c r="E11" s="194">
        <f t="shared" si="1"/>
        <v>0</v>
      </c>
      <c r="F11" s="194">
        <f t="shared" si="1"/>
        <v>313000</v>
      </c>
      <c r="G11" s="194">
        <f t="shared" si="1"/>
        <v>206000</v>
      </c>
      <c r="H11" s="194">
        <f t="shared" si="1"/>
        <v>0</v>
      </c>
      <c r="I11" s="194">
        <f t="shared" si="1"/>
        <v>41000</v>
      </c>
      <c r="J11" s="194">
        <f t="shared" si="1"/>
        <v>149000</v>
      </c>
      <c r="K11" s="194">
        <f t="shared" si="1"/>
        <v>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3191350</v>
      </c>
      <c r="D13" s="197"/>
      <c r="E13" s="197"/>
      <c r="F13" s="197"/>
      <c r="G13" s="198">
        <f>'EstExp 12-20'!K233</f>
        <v>64700</v>
      </c>
      <c r="H13" s="199"/>
      <c r="I13" s="197"/>
      <c r="J13" s="191">
        <f>'EstExp 12-20'!K344</f>
        <v>0</v>
      </c>
      <c r="K13" s="197"/>
    </row>
    <row r="14" spans="1:11" ht="12.75" customHeight="1" x14ac:dyDescent="0.2">
      <c r="A14" s="670" t="s">
        <v>129</v>
      </c>
      <c r="B14" s="680">
        <v>2000</v>
      </c>
      <c r="C14" s="200">
        <f>'EstExp 12-20'!K76</f>
        <v>1542350</v>
      </c>
      <c r="D14" s="191">
        <f>'EstExp 12-20'!K133</f>
        <v>650781</v>
      </c>
      <c r="E14" s="201"/>
      <c r="F14" s="191">
        <f>'EstExp 12-20'!K188</f>
        <v>354000</v>
      </c>
      <c r="G14" s="191">
        <f>'EstExp 12-20'!K276</f>
        <v>141300</v>
      </c>
      <c r="H14" s="191">
        <f>'EstExp 12-20'!K300</f>
        <v>0</v>
      </c>
      <c r="I14" s="201"/>
      <c r="J14" s="191">
        <f>'EstExp 12-20'!K387</f>
        <v>149000</v>
      </c>
      <c r="K14" s="191">
        <f>'EstExp 12-20'!K438</f>
        <v>0</v>
      </c>
    </row>
    <row r="15" spans="1:11" ht="12.75" customHeight="1" x14ac:dyDescent="0.2">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752800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0</v>
      </c>
      <c r="F17" s="191">
        <f>'EstExp 12-20'!K212</f>
        <v>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5486500</v>
      </c>
      <c r="D19" s="204">
        <f t="shared" si="2"/>
        <v>650781</v>
      </c>
      <c r="E19" s="204">
        <f t="shared" si="2"/>
        <v>0</v>
      </c>
      <c r="F19" s="204">
        <f t="shared" si="2"/>
        <v>354000</v>
      </c>
      <c r="G19" s="204">
        <f>SUM(G13:G18)</f>
        <v>206000</v>
      </c>
      <c r="H19" s="204">
        <f>SUM(H13:H18)</f>
        <v>0</v>
      </c>
      <c r="I19" s="201"/>
      <c r="J19" s="192">
        <f>SUM(J13:J18)</f>
        <v>149000</v>
      </c>
      <c r="K19" s="204">
        <f>SUM(K13:K18)</f>
        <v>0</v>
      </c>
    </row>
    <row r="20" spans="1:11" ht="16.5" thickTop="1" thickBot="1" x14ac:dyDescent="0.25">
      <c r="A20" s="683" t="s">
        <v>677</v>
      </c>
      <c r="B20" s="684">
        <v>4180</v>
      </c>
      <c r="C20" s="205">
        <f t="shared" ref="C20:H20" si="3">C10</f>
        <v>945990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6432490</v>
      </c>
      <c r="D21" s="205">
        <f t="shared" si="4"/>
        <v>650781</v>
      </c>
      <c r="E21" s="205">
        <f t="shared" si="4"/>
        <v>0</v>
      </c>
      <c r="F21" s="205">
        <f t="shared" si="4"/>
        <v>354000</v>
      </c>
      <c r="G21" s="205">
        <f t="shared" si="4"/>
        <v>206000</v>
      </c>
      <c r="H21" s="205">
        <f t="shared" si="4"/>
        <v>0</v>
      </c>
      <c r="I21" s="201"/>
      <c r="J21" s="205">
        <f>SUM(J19:J20)</f>
        <v>149000</v>
      </c>
      <c r="K21" s="205">
        <f>SUM(K19:K20)</f>
        <v>0</v>
      </c>
    </row>
    <row r="22" spans="1:11" ht="21.75" customHeight="1" thickTop="1" x14ac:dyDescent="0.2">
      <c r="A22" s="655" t="s">
        <v>449</v>
      </c>
      <c r="B22" s="656"/>
      <c r="C22" s="206">
        <f>C9-C19</f>
        <v>0</v>
      </c>
      <c r="D22" s="206">
        <f t="shared" ref="D22:K22" si="5">D9-D19</f>
        <v>0</v>
      </c>
      <c r="E22" s="206">
        <f t="shared" si="5"/>
        <v>0</v>
      </c>
      <c r="F22" s="206">
        <f t="shared" si="5"/>
        <v>-41000</v>
      </c>
      <c r="G22" s="206">
        <f t="shared" si="5"/>
        <v>0</v>
      </c>
      <c r="H22" s="206">
        <f t="shared" si="5"/>
        <v>0</v>
      </c>
      <c r="I22" s="206">
        <f t="shared" si="5"/>
        <v>41000</v>
      </c>
      <c r="J22" s="206">
        <f t="shared" si="5"/>
        <v>0</v>
      </c>
      <c r="K22" s="206">
        <f t="shared" si="5"/>
        <v>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c r="F78" s="210"/>
      <c r="G78" s="210"/>
      <c r="H78" s="210"/>
      <c r="I78" s="210"/>
      <c r="J78" s="210"/>
      <c r="K78" s="210"/>
    </row>
    <row r="79" spans="1:11" ht="15.75" thickBot="1" x14ac:dyDescent="0.25">
      <c r="A79" s="697" t="s">
        <v>686</v>
      </c>
      <c r="B79" s="698"/>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5936882</v>
      </c>
      <c r="D81" s="228">
        <f t="shared" si="9"/>
        <v>1109562</v>
      </c>
      <c r="E81" s="228">
        <f>E3+E22+E80</f>
        <v>140269</v>
      </c>
      <c r="F81" s="228">
        <f t="shared" si="9"/>
        <v>448804</v>
      </c>
      <c r="G81" s="228">
        <f t="shared" si="9"/>
        <v>153257</v>
      </c>
      <c r="H81" s="228">
        <f t="shared" si="9"/>
        <v>0</v>
      </c>
      <c r="I81" s="228">
        <f t="shared" si="9"/>
        <v>497568</v>
      </c>
      <c r="J81" s="228">
        <f t="shared" si="9"/>
        <v>286639</v>
      </c>
      <c r="K81" s="228">
        <f t="shared" si="9"/>
        <v>22687</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93474</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0</v>
      </c>
      <c r="D87" s="571"/>
      <c r="E87" s="571"/>
      <c r="F87" s="571"/>
      <c r="G87" s="571"/>
      <c r="H87" s="571"/>
      <c r="I87" s="571"/>
      <c r="J87" s="571"/>
      <c r="K87" s="571"/>
    </row>
    <row r="88" spans="1:11" ht="27.75" customHeight="1" thickTop="1" thickBot="1" x14ac:dyDescent="0.25">
      <c r="A88" s="655" t="s">
        <v>449</v>
      </c>
      <c r="B88" s="656"/>
      <c r="C88" s="585">
        <f>C85-C87</f>
        <v>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93474</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6030356</v>
      </c>
      <c r="D91" s="664">
        <f>D3</f>
        <v>1109562</v>
      </c>
      <c r="E91" s="664">
        <f t="shared" ref="E91:K91" si="10">E3</f>
        <v>140269</v>
      </c>
      <c r="F91" s="664">
        <f t="shared" si="10"/>
        <v>489804</v>
      </c>
      <c r="G91" s="664">
        <f t="shared" si="10"/>
        <v>153257</v>
      </c>
      <c r="H91" s="664">
        <f t="shared" si="10"/>
        <v>0</v>
      </c>
      <c r="I91" s="664">
        <f t="shared" si="10"/>
        <v>456568</v>
      </c>
      <c r="J91" s="664">
        <f t="shared" si="10"/>
        <v>286639</v>
      </c>
      <c r="K91" s="664">
        <f t="shared" si="10"/>
        <v>22687</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4133500</v>
      </c>
      <c r="D93" s="189">
        <f>D5</f>
        <v>650781</v>
      </c>
      <c r="E93" s="189">
        <f t="shared" ref="E93:K93" si="11">E5</f>
        <v>0</v>
      </c>
      <c r="F93" s="189">
        <f t="shared" si="11"/>
        <v>208000</v>
      </c>
      <c r="G93" s="189">
        <f t="shared" si="11"/>
        <v>206000</v>
      </c>
      <c r="H93" s="189">
        <f t="shared" si="11"/>
        <v>0</v>
      </c>
      <c r="I93" s="189">
        <f t="shared" si="11"/>
        <v>41000</v>
      </c>
      <c r="J93" s="189">
        <f t="shared" si="11"/>
        <v>149000</v>
      </c>
      <c r="K93" s="189">
        <f t="shared" si="11"/>
        <v>0</v>
      </c>
    </row>
    <row r="94" spans="1:11" s="665" customFormat="1" ht="24" x14ac:dyDescent="0.2">
      <c r="A94" s="668" t="s">
        <v>736</v>
      </c>
      <c r="B94" s="669">
        <v>2000</v>
      </c>
      <c r="C94" s="189">
        <f>C6</f>
        <v>0</v>
      </c>
      <c r="D94" s="189">
        <f>D6</f>
        <v>0</v>
      </c>
      <c r="E94" s="190"/>
      <c r="F94" s="189">
        <f>F6</f>
        <v>0</v>
      </c>
      <c r="G94" s="189">
        <f>G6</f>
        <v>0</v>
      </c>
      <c r="H94" s="190"/>
      <c r="I94" s="190"/>
      <c r="J94" s="190"/>
      <c r="K94" s="190"/>
    </row>
    <row r="95" spans="1:11" s="665" customFormat="1" ht="12.75" customHeight="1" x14ac:dyDescent="0.2">
      <c r="A95" s="670" t="s">
        <v>447</v>
      </c>
      <c r="B95" s="669">
        <v>3000</v>
      </c>
      <c r="C95" s="189">
        <f>C7</f>
        <v>885300</v>
      </c>
      <c r="D95" s="189">
        <f t="shared" ref="D95:K95" si="12">D7</f>
        <v>0</v>
      </c>
      <c r="E95" s="189">
        <f t="shared" si="12"/>
        <v>0</v>
      </c>
      <c r="F95" s="189">
        <f t="shared" si="12"/>
        <v>105000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467700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5486500</v>
      </c>
      <c r="D97" s="586">
        <f t="shared" ref="D97:K97" si="14">SUM(D93:D96)</f>
        <v>650781</v>
      </c>
      <c r="E97" s="192">
        <f t="shared" si="14"/>
        <v>0</v>
      </c>
      <c r="F97" s="192">
        <f t="shared" si="14"/>
        <v>313000</v>
      </c>
      <c r="G97" s="192">
        <f t="shared" si="14"/>
        <v>206000</v>
      </c>
      <c r="H97" s="192">
        <f t="shared" si="14"/>
        <v>0</v>
      </c>
      <c r="I97" s="192">
        <f t="shared" si="14"/>
        <v>41000</v>
      </c>
      <c r="J97" s="192">
        <f t="shared" si="14"/>
        <v>149000</v>
      </c>
      <c r="K97" s="192">
        <f t="shared" si="14"/>
        <v>0</v>
      </c>
    </row>
    <row r="98" spans="1:11" s="650" customFormat="1" ht="16.5" thickTop="1" thickBot="1" x14ac:dyDescent="0.25">
      <c r="A98" s="674" t="s">
        <v>675</v>
      </c>
      <c r="B98" s="675">
        <v>3998</v>
      </c>
      <c r="C98" s="676">
        <f>C10</f>
        <v>945990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6432490</v>
      </c>
      <c r="D99" s="194">
        <f t="shared" ref="D99:K99" si="16">SUM(D97:D98)</f>
        <v>650781</v>
      </c>
      <c r="E99" s="194">
        <f t="shared" si="16"/>
        <v>0</v>
      </c>
      <c r="F99" s="194">
        <f t="shared" si="16"/>
        <v>313000</v>
      </c>
      <c r="G99" s="194">
        <f t="shared" si="16"/>
        <v>206000</v>
      </c>
      <c r="H99" s="194">
        <f t="shared" si="16"/>
        <v>0</v>
      </c>
      <c r="I99" s="194">
        <f t="shared" si="16"/>
        <v>41000</v>
      </c>
      <c r="J99" s="194">
        <f t="shared" si="16"/>
        <v>149000</v>
      </c>
      <c r="K99" s="194">
        <f t="shared" si="16"/>
        <v>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3191350</v>
      </c>
      <c r="D101" s="197"/>
      <c r="E101" s="197"/>
      <c r="F101" s="197"/>
      <c r="G101" s="198">
        <f t="shared" ref="G101:G106" si="17">G13</f>
        <v>64700</v>
      </c>
      <c r="H101" s="199"/>
      <c r="I101" s="197"/>
      <c r="J101" s="198">
        <f>J13</f>
        <v>0</v>
      </c>
      <c r="K101" s="197"/>
    </row>
    <row r="102" spans="1:11" ht="12.75" customHeight="1" x14ac:dyDescent="0.2">
      <c r="A102" s="670" t="s">
        <v>129</v>
      </c>
      <c r="B102" s="680">
        <v>2000</v>
      </c>
      <c r="C102" s="200">
        <f t="shared" ref="C102:D106" si="18">C14</f>
        <v>1542350</v>
      </c>
      <c r="D102" s="200">
        <f t="shared" si="18"/>
        <v>650781</v>
      </c>
      <c r="E102" s="197"/>
      <c r="F102" s="200">
        <f>F14</f>
        <v>354000</v>
      </c>
      <c r="G102" s="200">
        <f t="shared" si="17"/>
        <v>141300</v>
      </c>
      <c r="H102" s="200">
        <f>H14</f>
        <v>0</v>
      </c>
      <c r="I102" s="197"/>
      <c r="J102" s="200">
        <f>J14</f>
        <v>149000</v>
      </c>
      <c r="K102" s="189">
        <f>K14</f>
        <v>0</v>
      </c>
    </row>
    <row r="103" spans="1:11" ht="12.75" customHeight="1" x14ac:dyDescent="0.2">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752800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0</v>
      </c>
      <c r="F105" s="200">
        <f>F17</f>
        <v>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5486500</v>
      </c>
      <c r="D107" s="204">
        <f t="shared" si="21"/>
        <v>650781</v>
      </c>
      <c r="E107" s="204">
        <f t="shared" si="21"/>
        <v>0</v>
      </c>
      <c r="F107" s="204">
        <f t="shared" si="21"/>
        <v>354000</v>
      </c>
      <c r="G107" s="204">
        <f t="shared" si="21"/>
        <v>206000</v>
      </c>
      <c r="H107" s="204">
        <f t="shared" si="21"/>
        <v>0</v>
      </c>
      <c r="I107" s="201"/>
      <c r="J107" s="192">
        <f>SUM(J101:J106)</f>
        <v>149000</v>
      </c>
      <c r="K107" s="204">
        <f>SUM(K101:K106)</f>
        <v>0</v>
      </c>
    </row>
    <row r="108" spans="1:11" ht="16.5" thickTop="1" thickBot="1" x14ac:dyDescent="0.25">
      <c r="A108" s="683" t="s">
        <v>677</v>
      </c>
      <c r="B108" s="684">
        <v>4180</v>
      </c>
      <c r="C108" s="205">
        <f t="shared" ref="C108:H108" si="22">C98</f>
        <v>945990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6432490</v>
      </c>
      <c r="D109" s="205">
        <f t="shared" si="23"/>
        <v>650781</v>
      </c>
      <c r="E109" s="205">
        <f t="shared" si="23"/>
        <v>0</v>
      </c>
      <c r="F109" s="205">
        <f t="shared" si="23"/>
        <v>354000</v>
      </c>
      <c r="G109" s="205">
        <f t="shared" si="23"/>
        <v>206000</v>
      </c>
      <c r="H109" s="205">
        <f t="shared" si="23"/>
        <v>0</v>
      </c>
      <c r="I109" s="201"/>
      <c r="J109" s="205">
        <f>SUM(J107:J108)</f>
        <v>149000</v>
      </c>
      <c r="K109" s="205">
        <f>SUM(K107:K108)</f>
        <v>0</v>
      </c>
    </row>
    <row r="110" spans="1:11" ht="21.75" customHeight="1" thickTop="1" x14ac:dyDescent="0.2">
      <c r="A110" s="655" t="s">
        <v>449</v>
      </c>
      <c r="B110" s="656"/>
      <c r="C110" s="206">
        <f>C97-C107</f>
        <v>0</v>
      </c>
      <c r="D110" s="206">
        <f t="shared" ref="D110:K110" si="24">D97-D107</f>
        <v>0</v>
      </c>
      <c r="E110" s="206">
        <f t="shared" si="24"/>
        <v>0</v>
      </c>
      <c r="F110" s="206">
        <f t="shared" si="24"/>
        <v>-41000</v>
      </c>
      <c r="G110" s="206">
        <f t="shared" si="24"/>
        <v>0</v>
      </c>
      <c r="H110" s="206">
        <f t="shared" si="24"/>
        <v>0</v>
      </c>
      <c r="I110" s="206">
        <f t="shared" si="24"/>
        <v>41000</v>
      </c>
      <c r="J110" s="206">
        <f t="shared" si="24"/>
        <v>0</v>
      </c>
      <c r="K110" s="206">
        <f t="shared" si="24"/>
        <v>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6030356</v>
      </c>
      <c r="D118" s="703">
        <f t="shared" ref="D118:K118" si="28">D81+D89</f>
        <v>1109562</v>
      </c>
      <c r="E118" s="703">
        <f t="shared" si="28"/>
        <v>140269</v>
      </c>
      <c r="F118" s="703">
        <f t="shared" si="28"/>
        <v>448804</v>
      </c>
      <c r="G118" s="703">
        <f t="shared" si="28"/>
        <v>153257</v>
      </c>
      <c r="H118" s="703">
        <f t="shared" si="28"/>
        <v>0</v>
      </c>
      <c r="I118" s="703">
        <f t="shared" si="28"/>
        <v>497568</v>
      </c>
      <c r="J118" s="703">
        <f t="shared" si="28"/>
        <v>286639</v>
      </c>
      <c r="K118" s="703">
        <f t="shared" si="28"/>
        <v>22687</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3390050</v>
      </c>
      <c r="D124" s="505">
        <f>'EstExp 12-20'!C155</f>
        <v>220000</v>
      </c>
      <c r="E124" s="717"/>
      <c r="F124" s="505">
        <f>'EstExp 12-20'!C214</f>
        <v>148200</v>
      </c>
      <c r="G124" s="718"/>
      <c r="H124" s="505">
        <f>'EstExp 12-20'!C309</f>
        <v>0</v>
      </c>
      <c r="I124" s="717"/>
      <c r="J124" s="505">
        <f>'EstExp 12-20'!C$428</f>
        <v>0</v>
      </c>
      <c r="K124" s="505">
        <f>'EstExp 12-20'!C453</f>
        <v>0</v>
      </c>
      <c r="L124" s="719">
        <f t="shared" ref="L124:L132" si="29">SUM(C124:K124)</f>
        <v>3758250</v>
      </c>
    </row>
    <row r="125" spans="1:14" ht="12" x14ac:dyDescent="0.15">
      <c r="A125" s="715" t="s">
        <v>405</v>
      </c>
      <c r="B125" s="716">
        <v>200</v>
      </c>
      <c r="C125" s="505">
        <f>'EstExp 12-20'!D116</f>
        <v>631050</v>
      </c>
      <c r="D125" s="505">
        <f>'EstExp 12-20'!D155</f>
        <v>18200</v>
      </c>
      <c r="E125" s="718"/>
      <c r="F125" s="505">
        <f>'EstExp 12-20'!D214</f>
        <v>500</v>
      </c>
      <c r="G125" s="505">
        <f>'EstExp 12-20'!D292</f>
        <v>206000</v>
      </c>
      <c r="H125" s="505">
        <f>'EstExp 12-20'!D309</f>
        <v>0</v>
      </c>
      <c r="I125" s="717"/>
      <c r="J125" s="505">
        <f>'EstExp 12-20'!D428</f>
        <v>0</v>
      </c>
      <c r="K125" s="505">
        <f>'EstExp 12-20'!D453</f>
        <v>0</v>
      </c>
      <c r="L125" s="719">
        <f t="shared" si="29"/>
        <v>855750</v>
      </c>
    </row>
    <row r="126" spans="1:14" ht="12" x14ac:dyDescent="0.15">
      <c r="A126" s="715" t="s">
        <v>406</v>
      </c>
      <c r="B126" s="716">
        <v>300</v>
      </c>
      <c r="C126" s="505">
        <f>'EstExp 12-20'!E116</f>
        <v>417300</v>
      </c>
      <c r="D126" s="505">
        <f>'EstExp 12-20'!E155</f>
        <v>174281</v>
      </c>
      <c r="E126" s="505">
        <f>'EstExp 12-20'!E178</f>
        <v>0</v>
      </c>
      <c r="F126" s="505">
        <f>'EstExp 12-20'!E214</f>
        <v>162300</v>
      </c>
      <c r="G126" s="720"/>
      <c r="H126" s="505">
        <f>'EstExp 12-20'!E309</f>
        <v>0</v>
      </c>
      <c r="I126" s="717"/>
      <c r="J126" s="505">
        <f>'EstExp 12-20'!E428</f>
        <v>149000</v>
      </c>
      <c r="K126" s="505">
        <f>'EstExp 12-20'!E453</f>
        <v>0</v>
      </c>
      <c r="L126" s="719">
        <f t="shared" si="29"/>
        <v>902881</v>
      </c>
    </row>
    <row r="127" spans="1:14" ht="12" x14ac:dyDescent="0.15">
      <c r="A127" s="715" t="s">
        <v>407</v>
      </c>
      <c r="B127" s="716">
        <v>400</v>
      </c>
      <c r="C127" s="505">
        <f>'EstExp 12-20'!F116</f>
        <v>219300</v>
      </c>
      <c r="D127" s="505">
        <f>'EstExp 12-20'!F155</f>
        <v>158200</v>
      </c>
      <c r="E127" s="720"/>
      <c r="F127" s="505">
        <f>'EstExp 12-20'!F214</f>
        <v>42500</v>
      </c>
      <c r="G127" s="717"/>
      <c r="H127" s="505">
        <f>'EstExp 12-20'!F309</f>
        <v>0</v>
      </c>
      <c r="I127" s="717"/>
      <c r="J127" s="505">
        <f>'EstExp 12-20'!F428</f>
        <v>0</v>
      </c>
      <c r="K127" s="505">
        <f>'EstExp 12-20'!F453</f>
        <v>0</v>
      </c>
      <c r="L127" s="719">
        <f t="shared" si="29"/>
        <v>420000</v>
      </c>
    </row>
    <row r="128" spans="1:14" ht="12" x14ac:dyDescent="0.15">
      <c r="A128" s="715" t="s">
        <v>408</v>
      </c>
      <c r="B128" s="716">
        <v>500</v>
      </c>
      <c r="C128" s="505">
        <f>'EstExp 12-20'!G116</f>
        <v>56300</v>
      </c>
      <c r="D128" s="505">
        <f>'EstExp 12-20'!G155</f>
        <v>80000</v>
      </c>
      <c r="E128" s="718"/>
      <c r="F128" s="505">
        <f>'EstExp 12-20'!G214</f>
        <v>200</v>
      </c>
      <c r="G128" s="718"/>
      <c r="H128" s="505">
        <f>'EstExp 12-20'!G309</f>
        <v>0</v>
      </c>
      <c r="I128" s="717"/>
      <c r="J128" s="505">
        <f>'EstExp 12-20'!G428</f>
        <v>0</v>
      </c>
      <c r="K128" s="505">
        <f>'EstExp 12-20'!G453</f>
        <v>0</v>
      </c>
      <c r="L128" s="719">
        <f t="shared" si="29"/>
        <v>136500</v>
      </c>
    </row>
    <row r="129" spans="1:12" ht="12" x14ac:dyDescent="0.15">
      <c r="A129" s="715" t="s">
        <v>409</v>
      </c>
      <c r="B129" s="716">
        <v>600</v>
      </c>
      <c r="C129" s="505">
        <f>'EstExp 12-20'!H116</f>
        <v>772500</v>
      </c>
      <c r="D129" s="505">
        <f>'EstExp 12-20'!H155</f>
        <v>100</v>
      </c>
      <c r="E129" s="505">
        <f>'EstExp 12-20'!H178</f>
        <v>0</v>
      </c>
      <c r="F129" s="505">
        <f>'EstExp 12-20'!H214</f>
        <v>300</v>
      </c>
      <c r="G129" s="505">
        <f>'EstExp 12-20'!H292</f>
        <v>0</v>
      </c>
      <c r="H129" s="505">
        <f>'EstExp 12-20'!H309</f>
        <v>0</v>
      </c>
      <c r="I129" s="717"/>
      <c r="J129" s="505">
        <f>'EstExp 12-20'!H428</f>
        <v>0</v>
      </c>
      <c r="K129" s="505">
        <f>'EstExp 12-20'!H453</f>
        <v>0</v>
      </c>
      <c r="L129" s="719">
        <f t="shared" si="29"/>
        <v>772900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5486500</v>
      </c>
      <c r="D132" s="507">
        <f t="shared" si="30"/>
        <v>650781</v>
      </c>
      <c r="E132" s="507">
        <f t="shared" si="30"/>
        <v>0</v>
      </c>
      <c r="F132" s="507">
        <f t="shared" si="30"/>
        <v>354000</v>
      </c>
      <c r="G132" s="507">
        <f t="shared" si="30"/>
        <v>206000</v>
      </c>
      <c r="H132" s="507">
        <f t="shared" si="30"/>
        <v>0</v>
      </c>
      <c r="I132" s="725"/>
      <c r="J132" s="507">
        <f>SUM(J124:J131)</f>
        <v>149000</v>
      </c>
      <c r="K132" s="507">
        <f>SUM(K124:K131)</f>
        <v>0</v>
      </c>
      <c r="L132" s="726">
        <f t="shared" si="29"/>
        <v>6846281</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2"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8"/>
  <sheetViews>
    <sheetView showGridLines="0" zoomScaleNormal="100" workbookViewId="0"/>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187">
        <v>5936882</v>
      </c>
      <c r="D3" s="187">
        <v>1109562</v>
      </c>
      <c r="E3" s="187">
        <v>140269</v>
      </c>
      <c r="F3" s="187">
        <v>489804</v>
      </c>
      <c r="G3" s="187">
        <v>153257</v>
      </c>
      <c r="H3" s="187">
        <v>0</v>
      </c>
      <c r="I3" s="187">
        <v>456568</v>
      </c>
      <c r="J3" s="187">
        <v>286639</v>
      </c>
      <c r="K3" s="187">
        <v>22687</v>
      </c>
    </row>
    <row r="4" spans="1:11" s="653" customFormat="1" ht="14.25" customHeight="1" thickBot="1" x14ac:dyDescent="0.25">
      <c r="A4" s="1737" t="s">
        <v>687</v>
      </c>
      <c r="B4" s="1738"/>
      <c r="C4" s="255">
        <f>'BudgetSum 2-4'!C9+'BudgetSum 2-4'!C46</f>
        <v>5486500</v>
      </c>
      <c r="D4" s="255">
        <f>'BudgetSum 2-4'!D9+'BudgetSum 2-4'!D46</f>
        <v>650781</v>
      </c>
      <c r="E4" s="255">
        <f>'BudgetSum 2-4'!E9+'BudgetSum 2-4'!E46</f>
        <v>0</v>
      </c>
      <c r="F4" s="255">
        <f>'BudgetSum 2-4'!F9+'BudgetSum 2-4'!F46</f>
        <v>313000</v>
      </c>
      <c r="G4" s="255">
        <f>'BudgetSum 2-4'!G9+'BudgetSum 2-4'!G46</f>
        <v>206000</v>
      </c>
      <c r="H4" s="255">
        <f>'BudgetSum 2-4'!H9+'BudgetSum 2-4'!H46</f>
        <v>0</v>
      </c>
      <c r="I4" s="255">
        <f>'BudgetSum 2-4'!I9+'BudgetSum 2-4'!I46</f>
        <v>41000</v>
      </c>
      <c r="J4" s="255">
        <f>'BudgetSum 2-4'!J9+'BudgetSum 2-4'!J46</f>
        <v>149000</v>
      </c>
      <c r="K4" s="255">
        <f>'BudgetSum 2-4'!K9+'BudgetSum 2-4'!K46</f>
        <v>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46" t="s">
        <v>47</v>
      </c>
      <c r="B11" s="1742"/>
      <c r="C11" s="256">
        <f>SUM(C4,C10)</f>
        <v>5486500</v>
      </c>
      <c r="D11" s="256">
        <f t="shared" ref="D11:K11" si="1">SUM(D4,D10)</f>
        <v>650781</v>
      </c>
      <c r="E11" s="256">
        <f t="shared" si="1"/>
        <v>0</v>
      </c>
      <c r="F11" s="256">
        <f t="shared" si="1"/>
        <v>313000</v>
      </c>
      <c r="G11" s="256">
        <f t="shared" si="1"/>
        <v>206000</v>
      </c>
      <c r="H11" s="256">
        <f t="shared" si="1"/>
        <v>0</v>
      </c>
      <c r="I11" s="256">
        <f t="shared" si="1"/>
        <v>41000</v>
      </c>
      <c r="J11" s="256">
        <f t="shared" si="1"/>
        <v>149000</v>
      </c>
      <c r="K11" s="256">
        <f t="shared" si="1"/>
        <v>0</v>
      </c>
    </row>
    <row r="12" spans="1:11" s="653" customFormat="1" ht="14.25" customHeight="1" thickTop="1" thickBot="1" x14ac:dyDescent="0.25">
      <c r="A12" s="1365" t="s">
        <v>80</v>
      </c>
      <c r="B12" s="1366"/>
      <c r="C12" s="256">
        <f>SUM(C3,C11)</f>
        <v>11423382</v>
      </c>
      <c r="D12" s="256">
        <f t="shared" ref="D12:K12" si="2">SUM(D3,D11)</f>
        <v>1760343</v>
      </c>
      <c r="E12" s="256">
        <f t="shared" si="2"/>
        <v>140269</v>
      </c>
      <c r="F12" s="256">
        <f t="shared" si="2"/>
        <v>802804</v>
      </c>
      <c r="G12" s="256">
        <f t="shared" si="2"/>
        <v>359257</v>
      </c>
      <c r="H12" s="256">
        <f t="shared" si="2"/>
        <v>0</v>
      </c>
      <c r="I12" s="256">
        <f t="shared" si="2"/>
        <v>497568</v>
      </c>
      <c r="J12" s="256">
        <f t="shared" si="2"/>
        <v>435639</v>
      </c>
      <c r="K12" s="256">
        <f t="shared" si="2"/>
        <v>22687</v>
      </c>
    </row>
    <row r="13" spans="1:11" s="653" customFormat="1" ht="14.25" customHeight="1" thickTop="1" thickBot="1" x14ac:dyDescent="0.25">
      <c r="A13" s="1741" t="s">
        <v>688</v>
      </c>
      <c r="B13" s="1742"/>
      <c r="C13" s="205">
        <f>SUM('BudgetSum 2-4'!C19,'BudgetSum 2-4'!C79)</f>
        <v>5486500</v>
      </c>
      <c r="D13" s="205">
        <f>SUM('BudgetSum 2-4'!D19,'BudgetSum 2-4'!D79)</f>
        <v>650781</v>
      </c>
      <c r="E13" s="205">
        <f>SUM('BudgetSum 2-4'!E19,'BudgetSum 2-4'!E79)</f>
        <v>0</v>
      </c>
      <c r="F13" s="205">
        <f>SUM('BudgetSum 2-4'!F19,'BudgetSum 2-4'!F79)</f>
        <v>354000</v>
      </c>
      <c r="G13" s="205">
        <f>SUM('BudgetSum 2-4'!G19,'BudgetSum 2-4'!G79)</f>
        <v>206000</v>
      </c>
      <c r="H13" s="205">
        <f>SUM('BudgetSum 2-4'!H19,'BudgetSum 2-4'!H79)</f>
        <v>0</v>
      </c>
      <c r="I13" s="205">
        <f>SUM('BudgetSum 2-4'!I19,'BudgetSum 2-4'!I79)</f>
        <v>0</v>
      </c>
      <c r="J13" s="205">
        <f>SUM('BudgetSum 2-4'!J19,'BudgetSum 2-4'!J79)</f>
        <v>149000</v>
      </c>
      <c r="K13" s="205">
        <f>SUM('BudgetSum 2-4'!K19,'BudgetSum 2-4'!K79)</f>
        <v>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7" t="s">
        <v>81</v>
      </c>
      <c r="B19" s="1738"/>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5486500</v>
      </c>
      <c r="D20" s="205">
        <f>SUM(D13,D19)</f>
        <v>650781</v>
      </c>
      <c r="E20" s="205">
        <f t="shared" ref="E20:K20" si="4">SUM(E13,E19)</f>
        <v>0</v>
      </c>
      <c r="F20" s="205">
        <f t="shared" si="4"/>
        <v>354000</v>
      </c>
      <c r="G20" s="205">
        <f t="shared" si="4"/>
        <v>206000</v>
      </c>
      <c r="H20" s="205">
        <f t="shared" si="4"/>
        <v>0</v>
      </c>
      <c r="I20" s="205">
        <f t="shared" si="4"/>
        <v>0</v>
      </c>
      <c r="J20" s="205">
        <f t="shared" si="4"/>
        <v>149000</v>
      </c>
      <c r="K20" s="205">
        <f t="shared" si="4"/>
        <v>0</v>
      </c>
    </row>
    <row r="21" spans="1:11" s="653" customFormat="1" ht="28.5" customHeight="1" thickTop="1" thickBot="1" x14ac:dyDescent="0.25">
      <c r="A21" s="1739" t="str">
        <f>"ENDING CASH BALANCE ON HAND (without Student Activity Funds) as of June 30, "&amp;'B24'!L2</f>
        <v>ENDING CASH BALANCE ON HAND (without Student Activity Funds) as of June 30, 2024</v>
      </c>
      <c r="B21" s="1740"/>
      <c r="C21" s="194">
        <f>SUM(C12-C20)</f>
        <v>5936882</v>
      </c>
      <c r="D21" s="194">
        <f t="shared" ref="D21:K21" si="5">SUM(D12-D20)</f>
        <v>1109562</v>
      </c>
      <c r="E21" s="194">
        <f t="shared" si="5"/>
        <v>140269</v>
      </c>
      <c r="F21" s="194">
        <f t="shared" si="5"/>
        <v>448804</v>
      </c>
      <c r="G21" s="194">
        <f t="shared" si="5"/>
        <v>153257</v>
      </c>
      <c r="H21" s="194">
        <f t="shared" si="5"/>
        <v>0</v>
      </c>
      <c r="I21" s="194">
        <f t="shared" si="5"/>
        <v>497568</v>
      </c>
      <c r="J21" s="194">
        <f t="shared" si="5"/>
        <v>286639</v>
      </c>
      <c r="K21" s="194">
        <f t="shared" si="5"/>
        <v>22687</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93474</v>
      </c>
      <c r="D23" s="252"/>
      <c r="E23" s="252"/>
      <c r="F23" s="252"/>
      <c r="G23" s="252"/>
      <c r="H23" s="252"/>
      <c r="I23" s="252"/>
      <c r="J23" s="252"/>
      <c r="K23" s="252"/>
    </row>
    <row r="24" spans="1:11" s="653" customFormat="1" ht="24" customHeight="1" thickTop="1" thickBot="1" x14ac:dyDescent="0.25">
      <c r="A24" s="1737" t="s">
        <v>687</v>
      </c>
      <c r="B24" s="1738"/>
      <c r="C24" s="205">
        <f>'BudgetSum 2-4'!C85</f>
        <v>0</v>
      </c>
      <c r="D24" s="252"/>
      <c r="E24" s="252"/>
      <c r="F24" s="252"/>
      <c r="G24" s="252"/>
      <c r="H24" s="252"/>
      <c r="I24" s="252"/>
      <c r="J24" s="252"/>
      <c r="K24" s="252"/>
    </row>
    <row r="25" spans="1:11" ht="14.25" thickTop="1" thickBot="1" x14ac:dyDescent="0.25">
      <c r="A25" s="1365" t="s">
        <v>80</v>
      </c>
      <c r="B25" s="1366"/>
      <c r="C25" s="256">
        <f>SUM(C23,C24)</f>
        <v>93474</v>
      </c>
      <c r="D25" s="252"/>
      <c r="E25" s="252"/>
      <c r="F25" s="252"/>
      <c r="G25" s="252"/>
      <c r="H25" s="252"/>
      <c r="I25" s="252"/>
      <c r="J25" s="252"/>
      <c r="K25" s="252"/>
    </row>
    <row r="26" spans="1:11" ht="14.25" thickTop="1" thickBot="1" x14ac:dyDescent="0.25">
      <c r="A26" s="1741" t="s">
        <v>688</v>
      </c>
      <c r="B26" s="1742"/>
      <c r="C26" s="205">
        <f>'BudgetSum 2-4'!C87</f>
        <v>0</v>
      </c>
      <c r="D26" s="252"/>
      <c r="E26" s="252"/>
      <c r="F26" s="252"/>
      <c r="G26" s="252"/>
      <c r="H26" s="252"/>
      <c r="I26" s="252"/>
      <c r="J26" s="252"/>
      <c r="K26" s="252"/>
    </row>
    <row r="27" spans="1:11" ht="26.1" customHeight="1" thickTop="1" thickBot="1" x14ac:dyDescent="0.25">
      <c r="A27" s="1739" t="str">
        <f>"Activity funds ENDING CASH BALANCE ON HAND7 as of June 30, "&amp;'B24'!L2</f>
        <v>Activity funds ENDING CASH BALANCE ON HAND7 as of June 30, 2024</v>
      </c>
      <c r="B27" s="1740"/>
      <c r="C27" s="194">
        <f>SUM(C25-C26)</f>
        <v>93474</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6030356</v>
      </c>
      <c r="D29" s="585">
        <f t="shared" ref="D29:K30" si="6">D3</f>
        <v>1109562</v>
      </c>
      <c r="E29" s="585">
        <f t="shared" si="6"/>
        <v>140269</v>
      </c>
      <c r="F29" s="585">
        <f t="shared" si="6"/>
        <v>489804</v>
      </c>
      <c r="G29" s="585">
        <f t="shared" si="6"/>
        <v>153257</v>
      </c>
      <c r="H29" s="585">
        <f t="shared" si="6"/>
        <v>0</v>
      </c>
      <c r="I29" s="585">
        <f t="shared" si="6"/>
        <v>456568</v>
      </c>
      <c r="J29" s="585">
        <f t="shared" si="6"/>
        <v>286639</v>
      </c>
      <c r="K29" s="585">
        <f t="shared" si="6"/>
        <v>22687</v>
      </c>
    </row>
    <row r="30" spans="1:11" ht="13.5" thickTop="1" x14ac:dyDescent="0.2">
      <c r="A30" s="1743" t="s">
        <v>687</v>
      </c>
      <c r="B30" s="1744"/>
      <c r="C30" s="585">
        <f>C4+C24</f>
        <v>5486500</v>
      </c>
      <c r="D30" s="585">
        <f t="shared" si="6"/>
        <v>650781</v>
      </c>
      <c r="E30" s="585">
        <f t="shared" si="6"/>
        <v>0</v>
      </c>
      <c r="F30" s="585">
        <f t="shared" si="6"/>
        <v>313000</v>
      </c>
      <c r="G30" s="585">
        <f t="shared" si="6"/>
        <v>206000</v>
      </c>
      <c r="H30" s="585">
        <f t="shared" si="6"/>
        <v>0</v>
      </c>
      <c r="I30" s="585">
        <f t="shared" si="6"/>
        <v>41000</v>
      </c>
      <c r="J30" s="585">
        <f t="shared" si="6"/>
        <v>149000</v>
      </c>
      <c r="K30" s="585">
        <f t="shared" si="6"/>
        <v>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5" t="s">
        <v>47</v>
      </c>
      <c r="B32" s="1738"/>
      <c r="C32" s="255">
        <f t="shared" ref="C32:K32" si="8">SUM(C30,C31)</f>
        <v>5486500</v>
      </c>
      <c r="D32" s="255">
        <f t="shared" si="8"/>
        <v>650781</v>
      </c>
      <c r="E32" s="255">
        <f t="shared" si="8"/>
        <v>0</v>
      </c>
      <c r="F32" s="255">
        <f t="shared" si="8"/>
        <v>313000</v>
      </c>
      <c r="G32" s="255">
        <f t="shared" si="8"/>
        <v>206000</v>
      </c>
      <c r="H32" s="255">
        <f t="shared" si="8"/>
        <v>0</v>
      </c>
      <c r="I32" s="255">
        <f t="shared" si="8"/>
        <v>41000</v>
      </c>
      <c r="J32" s="255">
        <f t="shared" si="8"/>
        <v>149000</v>
      </c>
      <c r="K32" s="255">
        <f t="shared" si="8"/>
        <v>0</v>
      </c>
    </row>
    <row r="33" spans="1:11" ht="14.25" thickTop="1" thickBot="1" x14ac:dyDescent="0.25">
      <c r="A33" s="1370" t="s">
        <v>80</v>
      </c>
      <c r="B33" s="1371"/>
      <c r="C33" s="593">
        <f t="shared" ref="C33:K33" si="9">SUM(C29,C32)</f>
        <v>11516856</v>
      </c>
      <c r="D33" s="593">
        <f t="shared" si="9"/>
        <v>1760343</v>
      </c>
      <c r="E33" s="593">
        <f t="shared" si="9"/>
        <v>140269</v>
      </c>
      <c r="F33" s="593">
        <f t="shared" si="9"/>
        <v>802804</v>
      </c>
      <c r="G33" s="593">
        <f t="shared" si="9"/>
        <v>359257</v>
      </c>
      <c r="H33" s="593">
        <f t="shared" si="9"/>
        <v>0</v>
      </c>
      <c r="I33" s="593">
        <f t="shared" si="9"/>
        <v>497568</v>
      </c>
      <c r="J33" s="593">
        <f t="shared" si="9"/>
        <v>435639</v>
      </c>
      <c r="K33" s="593">
        <f t="shared" si="9"/>
        <v>22687</v>
      </c>
    </row>
    <row r="34" spans="1:11" ht="13.5" thickTop="1" x14ac:dyDescent="0.2">
      <c r="A34" s="1735" t="s">
        <v>688</v>
      </c>
      <c r="B34" s="1736"/>
      <c r="C34" s="585">
        <f>C13+C26</f>
        <v>5486500</v>
      </c>
      <c r="D34" s="585">
        <f t="shared" ref="D34:K34" si="10">D13</f>
        <v>650781</v>
      </c>
      <c r="E34" s="585">
        <f t="shared" si="10"/>
        <v>0</v>
      </c>
      <c r="F34" s="585">
        <f t="shared" si="10"/>
        <v>354000</v>
      </c>
      <c r="G34" s="585">
        <f t="shared" si="10"/>
        <v>206000</v>
      </c>
      <c r="H34" s="585">
        <f t="shared" si="10"/>
        <v>0</v>
      </c>
      <c r="I34" s="585">
        <f t="shared" si="10"/>
        <v>0</v>
      </c>
      <c r="J34" s="585">
        <f t="shared" si="10"/>
        <v>149000</v>
      </c>
      <c r="K34" s="585">
        <f t="shared" si="10"/>
        <v>0</v>
      </c>
    </row>
    <row r="35" spans="1:11" ht="13.5" thickBot="1" x14ac:dyDescent="0.25">
      <c r="A35" s="1737" t="s">
        <v>81</v>
      </c>
      <c r="B35" s="1738"/>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5486500</v>
      </c>
      <c r="D36" s="594">
        <f t="shared" si="12"/>
        <v>650781</v>
      </c>
      <c r="E36" s="594">
        <f t="shared" si="12"/>
        <v>0</v>
      </c>
      <c r="F36" s="594">
        <f t="shared" si="12"/>
        <v>354000</v>
      </c>
      <c r="G36" s="594">
        <f t="shared" si="12"/>
        <v>206000</v>
      </c>
      <c r="H36" s="594">
        <f t="shared" si="12"/>
        <v>0</v>
      </c>
      <c r="I36" s="594">
        <f t="shared" si="12"/>
        <v>0</v>
      </c>
      <c r="J36" s="594">
        <f t="shared" si="12"/>
        <v>149000</v>
      </c>
      <c r="K36" s="594">
        <f t="shared" si="12"/>
        <v>0</v>
      </c>
    </row>
    <row r="37" spans="1:11" ht="27.75" customHeight="1" thickTop="1" thickBot="1" x14ac:dyDescent="0.25">
      <c r="A37" s="1739" t="str">
        <f>"Total ENDING CASH BALANCE ON HAND (with Student Activity Funds)7 as of June 30, "&amp;'B24'!L2</f>
        <v>Total ENDING CASH BALANCE ON HAND (with Student Activity Funds)7 as of June 30, 2024</v>
      </c>
      <c r="B37" s="1740"/>
      <c r="C37" s="194">
        <f t="shared" ref="C37:K37" si="13">SUM(C33-C36)</f>
        <v>6030356</v>
      </c>
      <c r="D37" s="194">
        <f t="shared" si="13"/>
        <v>1109562</v>
      </c>
      <c r="E37" s="194">
        <f t="shared" si="13"/>
        <v>140269</v>
      </c>
      <c r="F37" s="194">
        <f t="shared" si="13"/>
        <v>448804</v>
      </c>
      <c r="G37" s="194">
        <f t="shared" si="13"/>
        <v>153257</v>
      </c>
      <c r="H37" s="194">
        <f t="shared" si="13"/>
        <v>0</v>
      </c>
      <c r="I37" s="194">
        <f t="shared" si="13"/>
        <v>497568</v>
      </c>
      <c r="J37" s="194">
        <f t="shared" si="13"/>
        <v>286639</v>
      </c>
      <c r="K37" s="194">
        <f t="shared" si="13"/>
        <v>22687</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74"/>
  <sheetViews>
    <sheetView showGridLines="0" topLeftCell="A38" zoomScaleNormal="100" workbookViewId="0">
      <pane ySplit="1" activePane="bottomLeft"/>
      <selection activeCell="E89" sqref="E89"/>
      <selection pane="bottomLeft"/>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3230000</v>
      </c>
      <c r="D5" s="18">
        <v>410000</v>
      </c>
      <c r="E5" s="18"/>
      <c r="F5" s="18">
        <v>150000</v>
      </c>
      <c r="G5" s="18">
        <v>62000</v>
      </c>
      <c r="H5" s="18"/>
      <c r="I5" s="18">
        <v>37000</v>
      </c>
      <c r="J5" s="18">
        <v>140000</v>
      </c>
      <c r="K5" s="18"/>
    </row>
    <row r="6" spans="1:11" s="911" customFormat="1" ht="14.25" x14ac:dyDescent="0.2">
      <c r="A6" s="929" t="s">
        <v>667</v>
      </c>
      <c r="B6" s="930">
        <v>1130</v>
      </c>
      <c r="C6" s="18"/>
      <c r="D6" s="18"/>
      <c r="E6" s="19"/>
      <c r="F6" s="19"/>
      <c r="G6" s="20"/>
      <c r="H6" s="20"/>
      <c r="I6" s="20"/>
      <c r="J6" s="20"/>
      <c r="K6" s="20"/>
    </row>
    <row r="7" spans="1:11" s="767" customFormat="1" ht="12" x14ac:dyDescent="0.2">
      <c r="A7" s="931" t="s">
        <v>23</v>
      </c>
      <c r="B7" s="932">
        <v>1140</v>
      </c>
      <c r="C7" s="18">
        <v>45000</v>
      </c>
      <c r="D7" s="18"/>
      <c r="E7" s="19"/>
      <c r="F7" s="18"/>
      <c r="G7" s="18"/>
      <c r="H7" s="18"/>
      <c r="I7" s="20"/>
      <c r="J7" s="20"/>
      <c r="K7" s="20"/>
    </row>
    <row r="8" spans="1:11" s="767" customFormat="1" ht="12" x14ac:dyDescent="0.2">
      <c r="A8" s="913" t="s">
        <v>24</v>
      </c>
      <c r="B8" s="914">
        <v>1150</v>
      </c>
      <c r="C8" s="19"/>
      <c r="D8" s="19"/>
      <c r="E8" s="19"/>
      <c r="F8" s="19"/>
      <c r="G8" s="21">
        <v>64000</v>
      </c>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v>31000</v>
      </c>
      <c r="D11" s="18"/>
      <c r="E11" s="18"/>
      <c r="F11" s="18"/>
      <c r="G11" s="18"/>
      <c r="H11" s="18"/>
      <c r="I11" s="18"/>
      <c r="J11" s="18"/>
      <c r="K11" s="18"/>
    </row>
    <row r="12" spans="1:11" s="767" customFormat="1" thickBot="1" x14ac:dyDescent="0.25">
      <c r="A12" s="925" t="s">
        <v>337</v>
      </c>
      <c r="B12" s="926"/>
      <c r="C12" s="22">
        <f>SUM(C5:C11)</f>
        <v>3306000</v>
      </c>
      <c r="D12" s="22">
        <f t="shared" ref="D12:K12" si="0">SUM(D5:D11)</f>
        <v>410000</v>
      </c>
      <c r="E12" s="22">
        <f t="shared" si="0"/>
        <v>0</v>
      </c>
      <c r="F12" s="22">
        <f t="shared" si="0"/>
        <v>150000</v>
      </c>
      <c r="G12" s="22">
        <f t="shared" si="0"/>
        <v>126000</v>
      </c>
      <c r="H12" s="22">
        <f t="shared" si="0"/>
        <v>0</v>
      </c>
      <c r="I12" s="22">
        <f t="shared" si="0"/>
        <v>37000</v>
      </c>
      <c r="J12" s="22">
        <f t="shared" si="0"/>
        <v>140000</v>
      </c>
      <c r="K12" s="22">
        <f t="shared" si="0"/>
        <v>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v>410000</v>
      </c>
      <c r="D16" s="18">
        <v>150000</v>
      </c>
      <c r="E16" s="18"/>
      <c r="F16" s="18">
        <v>55000</v>
      </c>
      <c r="G16" s="18">
        <v>78000</v>
      </c>
      <c r="H16" s="18"/>
      <c r="I16" s="18"/>
      <c r="J16" s="18">
        <v>9000</v>
      </c>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410000</v>
      </c>
      <c r="D18" s="25">
        <f t="shared" ref="D18:K18" si="1">SUM(D14:D17)</f>
        <v>150000</v>
      </c>
      <c r="E18" s="25">
        <f t="shared" si="1"/>
        <v>0</v>
      </c>
      <c r="F18" s="25">
        <f t="shared" si="1"/>
        <v>55000</v>
      </c>
      <c r="G18" s="25">
        <f t="shared" si="1"/>
        <v>78000</v>
      </c>
      <c r="H18" s="25">
        <f t="shared" si="1"/>
        <v>0</v>
      </c>
      <c r="I18" s="25">
        <f t="shared" si="1"/>
        <v>0</v>
      </c>
      <c r="J18" s="25">
        <f t="shared" si="1"/>
        <v>9000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280000</v>
      </c>
      <c r="D65" s="18">
        <v>18000</v>
      </c>
      <c r="E65" s="18"/>
      <c r="F65" s="18">
        <v>3000</v>
      </c>
      <c r="G65" s="18">
        <v>2000</v>
      </c>
      <c r="H65" s="18"/>
      <c r="I65" s="18">
        <v>4000</v>
      </c>
      <c r="J65" s="18"/>
      <c r="K65" s="18"/>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280000</v>
      </c>
      <c r="D67" s="34">
        <f t="shared" ref="D67:K67" si="2">SUM(D65:D66)</f>
        <v>18000</v>
      </c>
      <c r="E67" s="34">
        <f t="shared" si="2"/>
        <v>0</v>
      </c>
      <c r="F67" s="34">
        <f t="shared" si="2"/>
        <v>3000</v>
      </c>
      <c r="G67" s="34">
        <f t="shared" si="2"/>
        <v>2000</v>
      </c>
      <c r="H67" s="34">
        <f t="shared" si="2"/>
        <v>0</v>
      </c>
      <c r="I67" s="34">
        <f t="shared" si="2"/>
        <v>4000</v>
      </c>
      <c r="J67" s="34">
        <f t="shared" si="2"/>
        <v>0</v>
      </c>
      <c r="K67" s="34">
        <f t="shared" si="2"/>
        <v>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v>30000</v>
      </c>
      <c r="D69" s="35"/>
      <c r="E69" s="31"/>
      <c r="F69" s="31"/>
      <c r="G69" s="33"/>
      <c r="H69" s="33"/>
      <c r="I69" s="33"/>
      <c r="J69" s="33"/>
      <c r="K69" s="33"/>
    </row>
    <row r="70" spans="1:11" s="767" customFormat="1" ht="12" x14ac:dyDescent="0.2">
      <c r="A70" s="892" t="s">
        <v>511</v>
      </c>
      <c r="B70" s="893">
        <v>1612</v>
      </c>
      <c r="C70" s="18"/>
      <c r="D70" s="35"/>
      <c r="E70" s="31"/>
      <c r="F70" s="31"/>
      <c r="G70" s="33"/>
      <c r="H70" s="33"/>
      <c r="I70" s="33"/>
      <c r="J70" s="33"/>
      <c r="K70" s="33"/>
    </row>
    <row r="71" spans="1:11" s="767" customFormat="1" ht="12" x14ac:dyDescent="0.2">
      <c r="A71" s="892" t="s">
        <v>142</v>
      </c>
      <c r="B71" s="893">
        <v>1613</v>
      </c>
      <c r="C71" s="18">
        <v>40000</v>
      </c>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70000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14000</v>
      </c>
      <c r="D77" s="18"/>
      <c r="E77" s="36"/>
      <c r="F77" s="36"/>
      <c r="G77" s="37"/>
      <c r="H77" s="37"/>
      <c r="I77" s="37"/>
      <c r="J77" s="37"/>
      <c r="K77" s="37"/>
    </row>
    <row r="78" spans="1:11" s="767" customFormat="1" ht="12" x14ac:dyDescent="0.2">
      <c r="A78" s="887" t="s">
        <v>138</v>
      </c>
      <c r="B78" s="888">
        <v>1719</v>
      </c>
      <c r="C78" s="18"/>
      <c r="D78" s="18"/>
      <c r="E78" s="36"/>
      <c r="F78" s="36"/>
      <c r="G78" s="37"/>
      <c r="H78" s="37"/>
      <c r="I78" s="37"/>
      <c r="J78" s="37"/>
      <c r="K78" s="37"/>
    </row>
    <row r="79" spans="1:11" s="767" customFormat="1" ht="12" x14ac:dyDescent="0.2">
      <c r="A79" s="887" t="s">
        <v>139</v>
      </c>
      <c r="B79" s="888">
        <v>1720</v>
      </c>
      <c r="C79" s="18">
        <v>2500</v>
      </c>
      <c r="D79" s="18"/>
      <c r="E79" s="36"/>
      <c r="F79" s="36"/>
      <c r="G79" s="37"/>
      <c r="H79" s="37"/>
      <c r="I79" s="37"/>
      <c r="J79" s="37"/>
      <c r="K79" s="37"/>
    </row>
    <row r="80" spans="1:11" s="767" customFormat="1" ht="12" x14ac:dyDescent="0.2">
      <c r="A80" s="887" t="s">
        <v>140</v>
      </c>
      <c r="B80" s="888">
        <v>1730</v>
      </c>
      <c r="C80" s="18"/>
      <c r="D80" s="18"/>
      <c r="E80" s="36"/>
      <c r="F80" s="36"/>
      <c r="G80" s="37"/>
      <c r="H80" s="37"/>
      <c r="I80" s="37"/>
      <c r="J80" s="37"/>
      <c r="K80" s="37"/>
    </row>
    <row r="81" spans="1:11" s="767" customFormat="1" ht="12" x14ac:dyDescent="0.2">
      <c r="A81" s="891" t="s">
        <v>840</v>
      </c>
      <c r="B81" s="888">
        <v>1790</v>
      </c>
      <c r="C81" s="18">
        <v>9000</v>
      </c>
      <c r="D81" s="18"/>
      <c r="E81" s="36"/>
      <c r="F81" s="36"/>
      <c r="G81" s="37"/>
      <c r="H81" s="37"/>
      <c r="I81" s="37"/>
      <c r="J81" s="37"/>
      <c r="K81" s="37"/>
    </row>
    <row r="82" spans="1:11" s="767" customFormat="1" ht="12" x14ac:dyDescent="0.2">
      <c r="A82" s="891" t="s">
        <v>753</v>
      </c>
      <c r="B82" s="888" t="s">
        <v>751</v>
      </c>
      <c r="C82" s="595"/>
      <c r="D82" s="31"/>
      <c r="E82" s="575"/>
      <c r="F82" s="36"/>
      <c r="G82" s="37"/>
      <c r="H82" s="37"/>
      <c r="I82" s="37"/>
      <c r="J82" s="37"/>
      <c r="K82" s="37"/>
    </row>
    <row r="83" spans="1:11" s="767" customFormat="1" thickBot="1" x14ac:dyDescent="0.25">
      <c r="A83" s="883" t="s">
        <v>754</v>
      </c>
      <c r="B83" s="884"/>
      <c r="C83" s="38">
        <f>SUM(C77:C81)</f>
        <v>25500</v>
      </c>
      <c r="D83" s="38">
        <f>SUM(D77:D81)</f>
        <v>0</v>
      </c>
      <c r="E83" s="36"/>
      <c r="F83" s="36"/>
      <c r="G83" s="37"/>
      <c r="H83" s="37"/>
      <c r="I83" s="37"/>
      <c r="J83" s="37"/>
      <c r="K83" s="37"/>
    </row>
    <row r="84" spans="1:11" s="767" customFormat="1" ht="13.5" thickTop="1" thickBot="1" x14ac:dyDescent="0.25">
      <c r="A84" s="883" t="s">
        <v>755</v>
      </c>
      <c r="B84" s="884"/>
      <c r="C84" s="38">
        <f>C83+C82</f>
        <v>25500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v>40000</v>
      </c>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v>2000</v>
      </c>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42000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c r="D97" s="41"/>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c r="D101" s="18"/>
      <c r="E101" s="18"/>
      <c r="F101" s="18"/>
      <c r="G101" s="18"/>
      <c r="H101" s="18"/>
      <c r="I101" s="40"/>
      <c r="J101" s="18"/>
      <c r="K101" s="18"/>
    </row>
    <row r="102" spans="1:11" s="767" customFormat="1" ht="12" x14ac:dyDescent="0.2">
      <c r="A102" s="882" t="s">
        <v>324</v>
      </c>
      <c r="B102" s="864">
        <v>1960</v>
      </c>
      <c r="C102" s="18"/>
      <c r="D102" s="18">
        <v>72781</v>
      </c>
      <c r="E102" s="18"/>
      <c r="F102" s="18"/>
      <c r="G102" s="18"/>
      <c r="H102" s="18"/>
      <c r="I102" s="42"/>
      <c r="J102" s="18"/>
      <c r="K102" s="18"/>
    </row>
    <row r="103" spans="1:11" s="767" customFormat="1" ht="12" x14ac:dyDescent="0.2">
      <c r="A103" s="882" t="s">
        <v>325</v>
      </c>
      <c r="B103" s="864">
        <v>1970</v>
      </c>
      <c r="C103" s="41"/>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c r="D105" s="49"/>
      <c r="E105" s="47"/>
      <c r="F105" s="49"/>
      <c r="G105" s="50"/>
      <c r="H105" s="48"/>
      <c r="I105" s="46"/>
      <c r="J105" s="46"/>
      <c r="K105" s="46"/>
    </row>
    <row r="106" spans="1:11" s="767" customFormat="1" ht="12" x14ac:dyDescent="0.2">
      <c r="A106" s="882" t="s">
        <v>29</v>
      </c>
      <c r="B106" s="864">
        <v>1991</v>
      </c>
      <c r="C106" s="47"/>
      <c r="D106" s="47"/>
      <c r="E106" s="47"/>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c r="D108" s="43"/>
      <c r="E108" s="43"/>
      <c r="F108" s="43"/>
      <c r="G108" s="43"/>
      <c r="H108" s="43"/>
      <c r="I108" s="40"/>
      <c r="J108" s="42"/>
      <c r="K108" s="42"/>
    </row>
    <row r="109" spans="1:11" s="767" customFormat="1" ht="12" x14ac:dyDescent="0.2">
      <c r="A109" s="882" t="s">
        <v>835</v>
      </c>
      <c r="B109" s="864">
        <v>1999</v>
      </c>
      <c r="C109" s="43"/>
      <c r="D109" s="43"/>
      <c r="E109" s="43"/>
      <c r="F109" s="43"/>
      <c r="G109" s="43"/>
      <c r="H109" s="43"/>
      <c r="I109" s="42"/>
      <c r="J109" s="42"/>
      <c r="K109" s="42"/>
    </row>
    <row r="110" spans="1:11" s="767" customFormat="1" thickBot="1" x14ac:dyDescent="0.25">
      <c r="A110" s="875" t="s">
        <v>90</v>
      </c>
      <c r="B110" s="805"/>
      <c r="C110" s="51">
        <f>SUM(C97:C109)</f>
        <v>0</v>
      </c>
      <c r="D110" s="51">
        <f>SUM(D97:D109)</f>
        <v>72781</v>
      </c>
      <c r="E110" s="51">
        <f t="shared" ref="E110:K110" si="3">SUM(E97:E109)</f>
        <v>0</v>
      </c>
      <c r="F110" s="51">
        <f t="shared" si="3"/>
        <v>0</v>
      </c>
      <c r="G110" s="51">
        <f t="shared" si="3"/>
        <v>0</v>
      </c>
      <c r="H110" s="51">
        <f t="shared" si="3"/>
        <v>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4133500</v>
      </c>
      <c r="D111" s="52">
        <f t="shared" si="4"/>
        <v>650781</v>
      </c>
      <c r="E111" s="52">
        <f t="shared" si="4"/>
        <v>0</v>
      </c>
      <c r="F111" s="52">
        <f t="shared" si="4"/>
        <v>208000</v>
      </c>
      <c r="G111" s="52">
        <f t="shared" si="4"/>
        <v>206000</v>
      </c>
      <c r="H111" s="52">
        <f t="shared" si="4"/>
        <v>0</v>
      </c>
      <c r="I111" s="52">
        <f t="shared" si="4"/>
        <v>41000</v>
      </c>
      <c r="J111" s="52">
        <f t="shared" si="4"/>
        <v>149000</v>
      </c>
      <c r="K111" s="52">
        <f t="shared" si="4"/>
        <v>0</v>
      </c>
    </row>
    <row r="112" spans="1:11" s="767" customFormat="1" ht="24.75" customHeight="1" thickTop="1" thickBot="1" x14ac:dyDescent="0.25">
      <c r="A112" s="878" t="s">
        <v>757</v>
      </c>
      <c r="B112" s="879"/>
      <c r="C112" s="52">
        <f>C12+C18+C40+C67+C75+C84+C95+C110</f>
        <v>4133500</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770000</v>
      </c>
      <c r="D120" s="43"/>
      <c r="E120" s="43"/>
      <c r="F120" s="43"/>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770000</v>
      </c>
      <c r="D124" s="64">
        <f t="shared" si="5"/>
        <v>0</v>
      </c>
      <c r="E124" s="64">
        <f t="shared" si="5"/>
        <v>0</v>
      </c>
      <c r="F124" s="64">
        <f t="shared" si="5"/>
        <v>0</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c r="D127" s="66"/>
      <c r="E127" s="66"/>
      <c r="F127" s="43"/>
      <c r="G127" s="63"/>
      <c r="H127" s="63"/>
      <c r="I127" s="63"/>
      <c r="J127" s="63"/>
      <c r="K127" s="63"/>
    </row>
    <row r="128" spans="1:11" s="767" customFormat="1" ht="12" x14ac:dyDescent="0.2">
      <c r="A128" s="853" t="s">
        <v>588</v>
      </c>
      <c r="B128" s="854">
        <v>3105</v>
      </c>
      <c r="C128" s="1688"/>
      <c r="D128" s="65"/>
      <c r="E128" s="66"/>
      <c r="F128" s="1687"/>
      <c r="G128" s="63"/>
      <c r="H128" s="63"/>
      <c r="I128" s="63"/>
      <c r="J128" s="63"/>
      <c r="K128" s="63"/>
    </row>
    <row r="129" spans="1:11" s="767" customFormat="1" ht="12" x14ac:dyDescent="0.2">
      <c r="A129" s="853" t="s">
        <v>64</v>
      </c>
      <c r="B129" s="854">
        <v>3110</v>
      </c>
      <c r="C129" s="1688"/>
      <c r="D129" s="1687"/>
      <c r="E129" s="66"/>
      <c r="F129" s="1687"/>
      <c r="G129" s="63"/>
      <c r="H129" s="63"/>
      <c r="I129" s="63"/>
      <c r="J129" s="63"/>
      <c r="K129" s="63"/>
    </row>
    <row r="130" spans="1:11" s="767" customFormat="1" ht="12" x14ac:dyDescent="0.2">
      <c r="A130" s="853" t="s">
        <v>65</v>
      </c>
      <c r="B130" s="854">
        <v>3120</v>
      </c>
      <c r="C130" s="43"/>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7"/>
      <c r="D132" s="65"/>
      <c r="E132" s="66"/>
      <c r="F132" s="1687"/>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500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v>6000</v>
      </c>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83000</v>
      </c>
      <c r="G154" s="71"/>
      <c r="H154" s="78"/>
      <c r="I154" s="78"/>
      <c r="J154" s="78"/>
      <c r="K154" s="78"/>
    </row>
    <row r="155" spans="1:11" s="767" customFormat="1" ht="12" x14ac:dyDescent="0.2">
      <c r="A155" s="835" t="s">
        <v>413</v>
      </c>
      <c r="B155" s="837">
        <v>3510</v>
      </c>
      <c r="C155" s="71"/>
      <c r="D155" s="71"/>
      <c r="E155" s="77"/>
      <c r="F155" s="71">
        <v>22000</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105000</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v>108000</v>
      </c>
      <c r="D161" s="71"/>
      <c r="E161" s="80"/>
      <c r="F161" s="71"/>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c r="E169" s="80"/>
      <c r="F169" s="80"/>
      <c r="G169" s="83"/>
      <c r="H169" s="71"/>
      <c r="I169" s="83"/>
      <c r="J169" s="83"/>
      <c r="K169" s="71"/>
    </row>
    <row r="170" spans="1:11" s="767" customFormat="1" thickBot="1" x14ac:dyDescent="0.25">
      <c r="A170" s="822" t="s">
        <v>1915</v>
      </c>
      <c r="B170" s="823">
        <v>3999</v>
      </c>
      <c r="C170" s="84">
        <v>800</v>
      </c>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115300</v>
      </c>
      <c r="D171" s="85">
        <f t="shared" si="6"/>
        <v>0</v>
      </c>
      <c r="E171" s="85">
        <f t="shared" si="6"/>
        <v>0</v>
      </c>
      <c r="F171" s="85">
        <f t="shared" si="6"/>
        <v>105000</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885300</v>
      </c>
      <c r="D172" s="86">
        <f t="shared" si="7"/>
        <v>0</v>
      </c>
      <c r="E172" s="86">
        <f t="shared" si="7"/>
        <v>0</v>
      </c>
      <c r="F172" s="86">
        <f t="shared" si="7"/>
        <v>105000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7" t="s">
        <v>730</v>
      </c>
      <c r="B174" s="1748"/>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v>37000</v>
      </c>
      <c r="D176" s="68"/>
      <c r="E176" s="68"/>
      <c r="F176" s="68"/>
      <c r="G176" s="68"/>
      <c r="H176" s="68"/>
      <c r="I176" s="68"/>
      <c r="J176" s="68"/>
      <c r="K176" s="68"/>
    </row>
    <row r="177" spans="1:11" s="767" customFormat="1" ht="13.5" thickBot="1" x14ac:dyDescent="0.25">
      <c r="A177" s="1749" t="s">
        <v>342</v>
      </c>
      <c r="B177" s="1750"/>
      <c r="C177" s="96">
        <f>SUM(C175:C176)</f>
        <v>37000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7" t="s">
        <v>731</v>
      </c>
      <c r="B178" s="1748"/>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1" t="s">
        <v>732</v>
      </c>
      <c r="B184" s="1752"/>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145000</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v>9000</v>
      </c>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154000</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70500</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70500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c r="D208" s="104"/>
      <c r="E208" s="102"/>
      <c r="F208" s="104"/>
      <c r="G208" s="104"/>
      <c r="H208" s="103"/>
      <c r="I208" s="103"/>
      <c r="J208" s="103"/>
      <c r="K208" s="103"/>
    </row>
    <row r="209" spans="1:11" s="767" customFormat="1" ht="22.5" x14ac:dyDescent="0.2">
      <c r="A209" s="1581" t="s">
        <v>4404</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1500</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102000</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103500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v>12700</v>
      </c>
      <c r="D262" s="104"/>
      <c r="E262" s="121"/>
      <c r="F262" s="104"/>
      <c r="G262" s="104"/>
      <c r="H262" s="123"/>
      <c r="I262" s="123"/>
      <c r="J262" s="123"/>
      <c r="K262" s="123"/>
    </row>
    <row r="263" spans="1:11" s="767" customFormat="1" ht="12" x14ac:dyDescent="0.2">
      <c r="A263" s="1579" t="s">
        <v>4403</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v>5000</v>
      </c>
      <c r="D267" s="104"/>
      <c r="E267" s="121"/>
      <c r="F267" s="104"/>
      <c r="G267" s="104"/>
      <c r="H267" s="123"/>
      <c r="I267" s="123"/>
      <c r="J267" s="123"/>
      <c r="K267" s="123"/>
    </row>
    <row r="268" spans="1:11" s="767" customFormat="1" ht="12" x14ac:dyDescent="0.2">
      <c r="A268" s="220" t="s">
        <v>427</v>
      </c>
      <c r="B268" s="745">
        <v>4992</v>
      </c>
      <c r="C268" s="104"/>
      <c r="D268" s="104"/>
      <c r="E268" s="121"/>
      <c r="F268" s="104"/>
      <c r="G268" s="104"/>
      <c r="H268" s="123"/>
      <c r="I268" s="123"/>
      <c r="J268" s="123"/>
      <c r="K268" s="123"/>
    </row>
    <row r="269" spans="1:11" s="767" customFormat="1" ht="22.5" x14ac:dyDescent="0.2">
      <c r="A269" s="774" t="s">
        <v>823</v>
      </c>
      <c r="B269" s="775">
        <v>4998</v>
      </c>
      <c r="C269" s="104">
        <v>85000</v>
      </c>
      <c r="D269" s="104"/>
      <c r="E269" s="121"/>
      <c r="F269" s="104"/>
      <c r="G269" s="104"/>
      <c r="H269" s="104"/>
      <c r="I269" s="129"/>
      <c r="J269" s="129"/>
      <c r="K269" s="104"/>
    </row>
    <row r="270" spans="1:11" s="767" customFormat="1" ht="24.75" thickBot="1" x14ac:dyDescent="0.25">
      <c r="A270" s="765" t="s">
        <v>733</v>
      </c>
      <c r="B270" s="766"/>
      <c r="C270" s="616">
        <f>SUM(C190,C200,C206,C212,C220,C224:C225,C255:C269)</f>
        <v>430700</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467700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5486500</v>
      </c>
      <c r="D272" s="131">
        <f>SUM(D111,D117,D172,D271)</f>
        <v>650781</v>
      </c>
      <c r="E272" s="131">
        <f>SUM(E111,E117,E172,E271)</f>
        <v>0</v>
      </c>
      <c r="F272" s="131">
        <f t="shared" ref="F272:K272" si="11">SUM(F111,F117,F172,F271)</f>
        <v>313000</v>
      </c>
      <c r="G272" s="131">
        <f>SUM(G111,G117,G172,G271)</f>
        <v>206000</v>
      </c>
      <c r="H272" s="131">
        <f t="shared" si="11"/>
        <v>0</v>
      </c>
      <c r="I272" s="131">
        <f>SUM(I111,I117,I172,I271)</f>
        <v>41000</v>
      </c>
      <c r="J272" s="131">
        <f t="shared" si="11"/>
        <v>149000</v>
      </c>
      <c r="K272" s="131">
        <f t="shared" si="11"/>
        <v>0</v>
      </c>
    </row>
    <row r="273" spans="1:11" s="767" customFormat="1" ht="25.5" thickTop="1" thickBot="1" x14ac:dyDescent="0.25">
      <c r="A273" s="768" t="s">
        <v>759</v>
      </c>
      <c r="B273" s="770"/>
      <c r="C273" s="131">
        <f>SUM(C112,C117,C172,C271)</f>
        <v>5486500</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2"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5"/>
  <sheetViews>
    <sheetView showGridLines="0" zoomScaleNormal="100" zoomScaleSheetLayoutView="80" workbookViewId="0">
      <selection sqref="A1:A2"/>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7"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8"/>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1600400</v>
      </c>
      <c r="D5" s="266">
        <v>361950</v>
      </c>
      <c r="E5" s="266">
        <v>25900</v>
      </c>
      <c r="F5" s="266">
        <v>52900</v>
      </c>
      <c r="G5" s="266">
        <v>11100</v>
      </c>
      <c r="H5" s="266">
        <v>300</v>
      </c>
      <c r="I5" s="266"/>
      <c r="J5" s="266"/>
      <c r="K5" s="267">
        <f>SUM(C5:J5)</f>
        <v>2052550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v>48500</v>
      </c>
      <c r="D7" s="266">
        <v>8100</v>
      </c>
      <c r="E7" s="266">
        <v>0</v>
      </c>
      <c r="F7" s="266">
        <v>5000</v>
      </c>
      <c r="G7" s="266"/>
      <c r="H7" s="266"/>
      <c r="I7" s="266"/>
      <c r="J7" s="266"/>
      <c r="K7" s="189">
        <f t="shared" ref="K7:K34" si="0">SUM(C7:J7)</f>
        <v>61600</v>
      </c>
    </row>
    <row r="8" spans="1:11" s="1244" customFormat="1" ht="12" x14ac:dyDescent="0.2">
      <c r="A8" s="1033" t="s">
        <v>323</v>
      </c>
      <c r="B8" s="1021">
        <v>1200</v>
      </c>
      <c r="C8" s="266">
        <v>282300</v>
      </c>
      <c r="D8" s="266">
        <v>32400</v>
      </c>
      <c r="E8" s="266">
        <v>140700</v>
      </c>
      <c r="F8" s="266">
        <v>4300</v>
      </c>
      <c r="G8" s="266">
        <v>1000</v>
      </c>
      <c r="H8" s="266">
        <v>1000</v>
      </c>
      <c r="I8" s="266"/>
      <c r="J8" s="266"/>
      <c r="K8" s="189">
        <f t="shared" si="0"/>
        <v>461700</v>
      </c>
    </row>
    <row r="9" spans="1:11" s="1244" customFormat="1" ht="12" x14ac:dyDescent="0.2">
      <c r="A9" s="1033" t="s">
        <v>280</v>
      </c>
      <c r="B9" s="1021">
        <v>1225</v>
      </c>
      <c r="C9" s="266"/>
      <c r="D9" s="266"/>
      <c r="E9" s="266"/>
      <c r="F9" s="266"/>
      <c r="G9" s="266"/>
      <c r="H9" s="266"/>
      <c r="I9" s="266"/>
      <c r="J9" s="266"/>
      <c r="K9" s="189">
        <f t="shared" si="0"/>
        <v>0</v>
      </c>
    </row>
    <row r="10" spans="1:11" s="1244" customFormat="1" ht="12" x14ac:dyDescent="0.2">
      <c r="A10" s="1033" t="s">
        <v>115</v>
      </c>
      <c r="B10" s="1021">
        <v>1250</v>
      </c>
      <c r="C10" s="266">
        <v>60000</v>
      </c>
      <c r="D10" s="266">
        <v>18300</v>
      </c>
      <c r="E10" s="266">
        <v>7000</v>
      </c>
      <c r="F10" s="266">
        <v>6400</v>
      </c>
      <c r="G10" s="266">
        <v>2000</v>
      </c>
      <c r="H10" s="266">
        <v>200</v>
      </c>
      <c r="I10" s="266"/>
      <c r="J10" s="266"/>
      <c r="K10" s="189">
        <f t="shared" si="0"/>
        <v>93900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c r="D13" s="266"/>
      <c r="E13" s="266">
        <v>20200</v>
      </c>
      <c r="F13" s="266">
        <v>35000</v>
      </c>
      <c r="G13" s="266">
        <v>20000</v>
      </c>
      <c r="H13" s="266"/>
      <c r="I13" s="266"/>
      <c r="J13" s="266"/>
      <c r="K13" s="189">
        <f t="shared" si="0"/>
        <v>75200</v>
      </c>
    </row>
    <row r="14" spans="1:11" ht="12" x14ac:dyDescent="0.2">
      <c r="A14" s="1033" t="s">
        <v>262</v>
      </c>
      <c r="B14" s="1021">
        <v>1500</v>
      </c>
      <c r="C14" s="266">
        <v>273100</v>
      </c>
      <c r="D14" s="266">
        <v>40200</v>
      </c>
      <c r="E14" s="266">
        <v>40800</v>
      </c>
      <c r="F14" s="266">
        <v>28400</v>
      </c>
      <c r="G14" s="266">
        <v>7000</v>
      </c>
      <c r="H14" s="266">
        <v>11700</v>
      </c>
      <c r="I14" s="266"/>
      <c r="J14" s="266"/>
      <c r="K14" s="189">
        <f t="shared" si="0"/>
        <v>401200</v>
      </c>
    </row>
    <row r="15" spans="1:11" ht="12" x14ac:dyDescent="0.2">
      <c r="A15" s="1033" t="s">
        <v>263</v>
      </c>
      <c r="B15" s="1021">
        <v>1600</v>
      </c>
      <c r="C15" s="266"/>
      <c r="D15" s="266"/>
      <c r="E15" s="266"/>
      <c r="F15" s="266"/>
      <c r="G15" s="266"/>
      <c r="H15" s="266"/>
      <c r="I15" s="266"/>
      <c r="J15" s="266"/>
      <c r="K15" s="189">
        <f t="shared" si="0"/>
        <v>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v>41000</v>
      </c>
      <c r="D17" s="266">
        <v>500</v>
      </c>
      <c r="E17" s="266">
        <v>2000</v>
      </c>
      <c r="F17" s="266">
        <v>1700</v>
      </c>
      <c r="G17" s="266"/>
      <c r="H17" s="266"/>
      <c r="I17" s="266"/>
      <c r="J17" s="266"/>
      <c r="K17" s="189">
        <f t="shared" si="0"/>
        <v>45200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c r="I22" s="276"/>
      <c r="J22" s="275"/>
      <c r="K22" s="189">
        <f t="shared" si="0"/>
        <v>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c r="I33" s="274"/>
      <c r="J33" s="274"/>
      <c r="K33" s="587">
        <f>SUM(C33:J33)</f>
        <v>0</v>
      </c>
    </row>
    <row r="34" spans="1:12" ht="15" thickBot="1" x14ac:dyDescent="0.25">
      <c r="A34" s="1026" t="s">
        <v>760</v>
      </c>
      <c r="B34" s="1027">
        <v>1000</v>
      </c>
      <c r="C34" s="192">
        <f>SUM(C5:C32)</f>
        <v>2305300</v>
      </c>
      <c r="D34" s="192">
        <f t="shared" ref="D34:J34" si="1">SUM(D5:D32)</f>
        <v>461450</v>
      </c>
      <c r="E34" s="192">
        <f t="shared" si="1"/>
        <v>236600</v>
      </c>
      <c r="F34" s="192">
        <f t="shared" si="1"/>
        <v>133700</v>
      </c>
      <c r="G34" s="192">
        <f t="shared" si="1"/>
        <v>41100</v>
      </c>
      <c r="H34" s="192">
        <f>SUM(H5:H32)</f>
        <v>13200</v>
      </c>
      <c r="I34" s="192">
        <f t="shared" si="1"/>
        <v>0</v>
      </c>
      <c r="J34" s="192">
        <f t="shared" si="1"/>
        <v>0</v>
      </c>
      <c r="K34" s="255">
        <f t="shared" si="0"/>
        <v>3191350</v>
      </c>
      <c r="L34" s="1032"/>
    </row>
    <row r="35" spans="1:12" ht="13.5" thickTop="1" thickBot="1" x14ac:dyDescent="0.25">
      <c r="A35" s="1243" t="s">
        <v>761</v>
      </c>
      <c r="B35" s="1027">
        <v>1000</v>
      </c>
      <c r="C35" s="293">
        <f>SUM(C5:C33)</f>
        <v>2305300</v>
      </c>
      <c r="D35" s="293">
        <f t="shared" ref="D35:J35" si="2">SUM(D5:D33)</f>
        <v>461450</v>
      </c>
      <c r="E35" s="293">
        <f t="shared" si="2"/>
        <v>236600</v>
      </c>
      <c r="F35" s="293">
        <f t="shared" si="2"/>
        <v>133700</v>
      </c>
      <c r="G35" s="293">
        <f t="shared" si="2"/>
        <v>41100</v>
      </c>
      <c r="H35" s="293">
        <f>SUM(H5:H33)</f>
        <v>13200</v>
      </c>
      <c r="I35" s="293">
        <f t="shared" si="2"/>
        <v>0</v>
      </c>
      <c r="J35" s="293">
        <f t="shared" si="2"/>
        <v>0</v>
      </c>
      <c r="K35" s="255">
        <f t="shared" ref="K35" si="3">SUM(C35:J35)</f>
        <v>3191350</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v>61500</v>
      </c>
      <c r="D38" s="271">
        <v>900</v>
      </c>
      <c r="E38" s="271">
        <v>400</v>
      </c>
      <c r="F38" s="271">
        <v>1000</v>
      </c>
      <c r="G38" s="271"/>
      <c r="H38" s="271">
        <v>100</v>
      </c>
      <c r="I38" s="271"/>
      <c r="J38" s="271"/>
      <c r="K38" s="189">
        <f t="shared" ref="K38:K43" si="4">SUM(C38:J38)</f>
        <v>63900</v>
      </c>
    </row>
    <row r="39" spans="1:12" ht="12" x14ac:dyDescent="0.2">
      <c r="A39" s="1022" t="s">
        <v>131</v>
      </c>
      <c r="B39" s="1021">
        <v>2120</v>
      </c>
      <c r="C39" s="271">
        <v>55500</v>
      </c>
      <c r="D39" s="271">
        <v>19350</v>
      </c>
      <c r="E39" s="271">
        <v>300</v>
      </c>
      <c r="F39" s="271">
        <v>500</v>
      </c>
      <c r="G39" s="271"/>
      <c r="H39" s="271"/>
      <c r="I39" s="271"/>
      <c r="J39" s="271"/>
      <c r="K39" s="189">
        <f t="shared" si="4"/>
        <v>75650</v>
      </c>
    </row>
    <row r="40" spans="1:12" ht="12" x14ac:dyDescent="0.2">
      <c r="A40" s="1022" t="s">
        <v>132</v>
      </c>
      <c r="B40" s="1021">
        <v>2130</v>
      </c>
      <c r="C40" s="271"/>
      <c r="D40" s="271"/>
      <c r="E40" s="271">
        <v>1000</v>
      </c>
      <c r="F40" s="271"/>
      <c r="G40" s="271"/>
      <c r="H40" s="271"/>
      <c r="I40" s="271"/>
      <c r="J40" s="271"/>
      <c r="K40" s="189">
        <f t="shared" si="4"/>
        <v>1000</v>
      </c>
    </row>
    <row r="41" spans="1:12" ht="12" x14ac:dyDescent="0.2">
      <c r="A41" s="1022" t="s">
        <v>133</v>
      </c>
      <c r="B41" s="1021">
        <v>2140</v>
      </c>
      <c r="C41" s="271"/>
      <c r="D41" s="271"/>
      <c r="E41" s="271"/>
      <c r="F41" s="271">
        <v>100</v>
      </c>
      <c r="G41" s="271"/>
      <c r="H41" s="271"/>
      <c r="I41" s="271"/>
      <c r="J41" s="271"/>
      <c r="K41" s="189">
        <f t="shared" si="4"/>
        <v>100</v>
      </c>
    </row>
    <row r="42" spans="1:12" s="1242" customFormat="1" ht="12.75" x14ac:dyDescent="0.2">
      <c r="A42" s="1023" t="s">
        <v>360</v>
      </c>
      <c r="B42" s="1420">
        <v>2150</v>
      </c>
      <c r="C42" s="271"/>
      <c r="D42" s="271"/>
      <c r="E42" s="271">
        <v>52000</v>
      </c>
      <c r="F42" s="271">
        <v>1000</v>
      </c>
      <c r="G42" s="271"/>
      <c r="H42" s="271"/>
      <c r="I42" s="271"/>
      <c r="J42" s="271"/>
      <c r="K42" s="189">
        <f t="shared" si="4"/>
        <v>53000</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117000</v>
      </c>
      <c r="D44" s="192">
        <f t="shared" ref="D44:K44" si="5">SUM(D38:D43)</f>
        <v>20250</v>
      </c>
      <c r="E44" s="192">
        <f t="shared" si="5"/>
        <v>53700</v>
      </c>
      <c r="F44" s="192">
        <f t="shared" si="5"/>
        <v>2600</v>
      </c>
      <c r="G44" s="192">
        <f t="shared" si="5"/>
        <v>0</v>
      </c>
      <c r="H44" s="192">
        <f t="shared" si="5"/>
        <v>100</v>
      </c>
      <c r="I44" s="192">
        <f t="shared" si="5"/>
        <v>0</v>
      </c>
      <c r="J44" s="192">
        <f t="shared" si="5"/>
        <v>0</v>
      </c>
      <c r="K44" s="192">
        <f t="shared" si="5"/>
        <v>193650</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v>20000</v>
      </c>
      <c r="D46" s="271">
        <v>1100</v>
      </c>
      <c r="E46" s="271"/>
      <c r="F46" s="271"/>
      <c r="G46" s="271"/>
      <c r="H46" s="271"/>
      <c r="I46" s="271"/>
      <c r="J46" s="271"/>
      <c r="K46" s="189">
        <f>SUM(C46:J46)</f>
        <v>21100</v>
      </c>
    </row>
    <row r="47" spans="1:12" ht="12" x14ac:dyDescent="0.2">
      <c r="A47" s="1013" t="s">
        <v>258</v>
      </c>
      <c r="B47" s="1014">
        <v>2220</v>
      </c>
      <c r="C47" s="271">
        <v>88300</v>
      </c>
      <c r="D47" s="271">
        <v>9500</v>
      </c>
      <c r="E47" s="271"/>
      <c r="F47" s="271">
        <v>600</v>
      </c>
      <c r="G47" s="271"/>
      <c r="H47" s="271"/>
      <c r="I47" s="271"/>
      <c r="J47" s="271"/>
      <c r="K47" s="189">
        <f>SUM(C47:J47)</f>
        <v>98400</v>
      </c>
    </row>
    <row r="48" spans="1:12" ht="12" x14ac:dyDescent="0.2">
      <c r="A48" s="1013" t="s">
        <v>259</v>
      </c>
      <c r="B48" s="1014">
        <v>2230</v>
      </c>
      <c r="C48" s="271"/>
      <c r="D48" s="271"/>
      <c r="E48" s="271">
        <v>30000</v>
      </c>
      <c r="F48" s="271">
        <v>1500</v>
      </c>
      <c r="G48" s="271"/>
      <c r="H48" s="271"/>
      <c r="I48" s="271"/>
      <c r="J48" s="271"/>
      <c r="K48" s="189">
        <f>SUM(C48:J48)</f>
        <v>31500</v>
      </c>
    </row>
    <row r="49" spans="1:12" ht="12.75" thickBot="1" x14ac:dyDescent="0.25">
      <c r="A49" s="1011" t="s">
        <v>501</v>
      </c>
      <c r="B49" s="1421">
        <v>2200</v>
      </c>
      <c r="C49" s="192">
        <f>SUM(C46:C48)</f>
        <v>108300</v>
      </c>
      <c r="D49" s="192">
        <f t="shared" ref="D49:K49" si="6">SUM(D46:D48)</f>
        <v>10600</v>
      </c>
      <c r="E49" s="192">
        <f t="shared" si="6"/>
        <v>30000</v>
      </c>
      <c r="F49" s="192">
        <f t="shared" si="6"/>
        <v>2100</v>
      </c>
      <c r="G49" s="192">
        <f t="shared" si="6"/>
        <v>0</v>
      </c>
      <c r="H49" s="192">
        <f t="shared" si="6"/>
        <v>0</v>
      </c>
      <c r="I49" s="192">
        <f t="shared" si="6"/>
        <v>0</v>
      </c>
      <c r="J49" s="192">
        <f t="shared" si="6"/>
        <v>0</v>
      </c>
      <c r="K49" s="192">
        <f t="shared" si="6"/>
        <v>151000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v>1850</v>
      </c>
      <c r="D51" s="271"/>
      <c r="E51" s="271">
        <v>36600</v>
      </c>
      <c r="F51" s="271">
        <v>1500</v>
      </c>
      <c r="G51" s="271"/>
      <c r="H51" s="271">
        <v>3000</v>
      </c>
      <c r="I51" s="271"/>
      <c r="J51" s="271"/>
      <c r="K51" s="189">
        <f>SUM(C51:J51)</f>
        <v>42950</v>
      </c>
    </row>
    <row r="52" spans="1:12" ht="12" x14ac:dyDescent="0.2">
      <c r="A52" s="1013" t="s">
        <v>294</v>
      </c>
      <c r="B52" s="1014">
        <v>2320</v>
      </c>
      <c r="C52" s="271">
        <v>233800</v>
      </c>
      <c r="D52" s="271">
        <v>10600</v>
      </c>
      <c r="E52" s="271">
        <v>1300</v>
      </c>
      <c r="F52" s="271">
        <v>1000</v>
      </c>
      <c r="G52" s="271"/>
      <c r="H52" s="271">
        <v>1200</v>
      </c>
      <c r="I52" s="271"/>
      <c r="J52" s="271"/>
      <c r="K52" s="189">
        <f>SUM(C52:J52)</f>
        <v>247900</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235650</v>
      </c>
      <c r="D55" s="192">
        <f t="shared" ref="D55:K55" si="7">SUM(D51:D54)</f>
        <v>10600</v>
      </c>
      <c r="E55" s="192">
        <f t="shared" si="7"/>
        <v>37900</v>
      </c>
      <c r="F55" s="192">
        <f t="shared" si="7"/>
        <v>2500</v>
      </c>
      <c r="G55" s="192">
        <f t="shared" si="7"/>
        <v>0</v>
      </c>
      <c r="H55" s="192">
        <f t="shared" si="7"/>
        <v>4200</v>
      </c>
      <c r="I55" s="192">
        <f t="shared" si="7"/>
        <v>0</v>
      </c>
      <c r="J55" s="192">
        <f t="shared" si="7"/>
        <v>0</v>
      </c>
      <c r="K55" s="192">
        <f t="shared" si="7"/>
        <v>290850</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432000</v>
      </c>
      <c r="D57" s="271">
        <v>87900</v>
      </c>
      <c r="E57" s="271">
        <v>43000</v>
      </c>
      <c r="F57" s="271">
        <v>7400</v>
      </c>
      <c r="G57" s="271">
        <v>100</v>
      </c>
      <c r="H57" s="271">
        <v>1200</v>
      </c>
      <c r="I57" s="271"/>
      <c r="J57" s="271"/>
      <c r="K57" s="189">
        <f>SUM(C57:J57)</f>
        <v>571600</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432000</v>
      </c>
      <c r="D59" s="192">
        <f t="shared" ref="D59:J59" si="8">SUM(D57:D58)</f>
        <v>87900</v>
      </c>
      <c r="E59" s="192">
        <f t="shared" si="8"/>
        <v>43000</v>
      </c>
      <c r="F59" s="192">
        <f t="shared" si="8"/>
        <v>7400</v>
      </c>
      <c r="G59" s="192">
        <f t="shared" si="8"/>
        <v>100</v>
      </c>
      <c r="H59" s="192">
        <f t="shared" si="8"/>
        <v>1200</v>
      </c>
      <c r="I59" s="192">
        <f t="shared" si="8"/>
        <v>0</v>
      </c>
      <c r="J59" s="192">
        <f t="shared" si="8"/>
        <v>0</v>
      </c>
      <c r="K59" s="255">
        <f>SUM(K57:K58)</f>
        <v>571600</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c r="D61" s="271"/>
      <c r="E61" s="271"/>
      <c r="F61" s="271"/>
      <c r="G61" s="271"/>
      <c r="H61" s="271"/>
      <c r="I61" s="271"/>
      <c r="J61" s="271"/>
      <c r="K61" s="189">
        <f t="shared" ref="K61:K66" si="9">SUM(C61:J61)</f>
        <v>0</v>
      </c>
    </row>
    <row r="62" spans="1:12" ht="12" x14ac:dyDescent="0.2">
      <c r="A62" s="994" t="s">
        <v>362</v>
      </c>
      <c r="B62" s="995">
        <v>2520</v>
      </c>
      <c r="C62" s="271">
        <v>73800</v>
      </c>
      <c r="D62" s="271">
        <v>16350</v>
      </c>
      <c r="E62" s="271">
        <v>4700</v>
      </c>
      <c r="F62" s="271">
        <v>2000</v>
      </c>
      <c r="G62" s="271">
        <v>100</v>
      </c>
      <c r="H62" s="271">
        <v>100</v>
      </c>
      <c r="I62" s="271"/>
      <c r="J62" s="271"/>
      <c r="K62" s="189">
        <f t="shared" si="9"/>
        <v>97050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118000</v>
      </c>
      <c r="D65" s="271">
        <v>23900</v>
      </c>
      <c r="E65" s="271">
        <v>3400</v>
      </c>
      <c r="F65" s="271">
        <v>69000</v>
      </c>
      <c r="G65" s="271">
        <v>15000</v>
      </c>
      <c r="H65" s="271">
        <v>900</v>
      </c>
      <c r="I65" s="271"/>
      <c r="J65" s="271"/>
      <c r="K65" s="189">
        <f t="shared" si="9"/>
        <v>230200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191800</v>
      </c>
      <c r="D67" s="287">
        <f t="shared" ref="D67:K67" si="10">SUM(D61:D66)</f>
        <v>40250</v>
      </c>
      <c r="E67" s="287">
        <f t="shared" si="10"/>
        <v>8100</v>
      </c>
      <c r="F67" s="287">
        <f t="shared" si="10"/>
        <v>71000</v>
      </c>
      <c r="G67" s="287">
        <f t="shared" si="10"/>
        <v>15100</v>
      </c>
      <c r="H67" s="287">
        <f t="shared" si="10"/>
        <v>1000</v>
      </c>
      <c r="I67" s="287">
        <f t="shared" si="10"/>
        <v>0</v>
      </c>
      <c r="J67" s="287">
        <f t="shared" si="10"/>
        <v>0</v>
      </c>
      <c r="K67" s="287">
        <f t="shared" si="10"/>
        <v>327250</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v>8000</v>
      </c>
      <c r="F73" s="271"/>
      <c r="G73" s="271"/>
      <c r="H73" s="271"/>
      <c r="I73" s="271"/>
      <c r="J73" s="271"/>
      <c r="K73" s="189">
        <f t="shared" si="11"/>
        <v>8000</v>
      </c>
    </row>
    <row r="74" spans="1:12" ht="12.75" thickBot="1" x14ac:dyDescent="0.25">
      <c r="A74" s="1005" t="s">
        <v>505</v>
      </c>
      <c r="B74" s="1008">
        <v>2600</v>
      </c>
      <c r="C74" s="291">
        <f>SUM(C69:C73)</f>
        <v>0</v>
      </c>
      <c r="D74" s="291">
        <f t="shared" ref="D74:J74" si="12">SUM(D69:D73)</f>
        <v>0</v>
      </c>
      <c r="E74" s="291">
        <f t="shared" si="12"/>
        <v>8000</v>
      </c>
      <c r="F74" s="291">
        <f t="shared" si="12"/>
        <v>0</v>
      </c>
      <c r="G74" s="291">
        <f t="shared" si="12"/>
        <v>0</v>
      </c>
      <c r="H74" s="291">
        <f t="shared" si="12"/>
        <v>0</v>
      </c>
      <c r="I74" s="291">
        <f t="shared" si="12"/>
        <v>0</v>
      </c>
      <c r="J74" s="291">
        <f t="shared" si="12"/>
        <v>0</v>
      </c>
      <c r="K74" s="291">
        <f>SUM(K69:K73)</f>
        <v>8000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1084750</v>
      </c>
      <c r="D76" s="291">
        <f t="shared" ref="D76:J76" si="13">SUM(D44,D49,D55,D59,D67,D74,D75)</f>
        <v>169600</v>
      </c>
      <c r="E76" s="291">
        <f t="shared" si="13"/>
        <v>180700</v>
      </c>
      <c r="F76" s="291">
        <f t="shared" si="13"/>
        <v>85600</v>
      </c>
      <c r="G76" s="291">
        <f t="shared" si="13"/>
        <v>15200</v>
      </c>
      <c r="H76" s="291">
        <f t="shared" si="13"/>
        <v>6500</v>
      </c>
      <c r="I76" s="291">
        <f t="shared" si="13"/>
        <v>0</v>
      </c>
      <c r="J76" s="291">
        <f t="shared" si="13"/>
        <v>0</v>
      </c>
      <c r="K76" s="293">
        <f t="shared" si="11"/>
        <v>1542350</v>
      </c>
      <c r="L76" s="1032"/>
    </row>
    <row r="77" spans="1:12" s="1017" customFormat="1" ht="13.5" thickTop="1" thickBot="1" x14ac:dyDescent="0.25">
      <c r="A77" s="1003" t="s">
        <v>153</v>
      </c>
      <c r="B77" s="1004">
        <v>3000</v>
      </c>
      <c r="C77" s="271"/>
      <c r="D77" s="271"/>
      <c r="E77" s="271"/>
      <c r="F77" s="271"/>
      <c r="G77" s="271"/>
      <c r="H77" s="271"/>
      <c r="I77" s="271"/>
      <c r="J77" s="271"/>
      <c r="K77" s="256">
        <f t="shared" si="11"/>
        <v>0</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c r="F81" s="231"/>
      <c r="G81" s="230"/>
      <c r="H81" s="271"/>
      <c r="I81" s="231"/>
      <c r="J81" s="231"/>
      <c r="K81" s="189">
        <f t="shared" si="14"/>
        <v>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v>26000</v>
      </c>
      <c r="I83" s="231"/>
      <c r="J83" s="231"/>
      <c r="K83" s="189">
        <f t="shared" si="14"/>
        <v>26000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0</v>
      </c>
      <c r="F86" s="231"/>
      <c r="G86" s="230"/>
      <c r="H86" s="243">
        <f>SUM(H80:H85)</f>
        <v>26000</v>
      </c>
      <c r="I86" s="231"/>
      <c r="J86" s="231"/>
      <c r="K86" s="243">
        <f>SUM(K80:K85)</f>
        <v>26000</v>
      </c>
      <c r="L86" s="1032"/>
    </row>
    <row r="87" spans="1:12" ht="12.75" thickTop="1" x14ac:dyDescent="0.2">
      <c r="A87" s="987" t="s">
        <v>243</v>
      </c>
      <c r="B87" s="988">
        <v>4210</v>
      </c>
      <c r="C87" s="302"/>
      <c r="D87" s="231"/>
      <c r="E87" s="231"/>
      <c r="F87" s="231"/>
      <c r="G87" s="230"/>
      <c r="H87" s="271"/>
      <c r="I87" s="231"/>
      <c r="J87" s="231"/>
      <c r="K87" s="267">
        <f>SUM(C87:J87)</f>
        <v>0</v>
      </c>
    </row>
    <row r="88" spans="1:12" ht="12" x14ac:dyDescent="0.2">
      <c r="A88" s="989" t="s">
        <v>183</v>
      </c>
      <c r="B88" s="990">
        <v>4220</v>
      </c>
      <c r="C88" s="302"/>
      <c r="D88" s="231"/>
      <c r="E88" s="231"/>
      <c r="F88" s="231"/>
      <c r="G88" s="230"/>
      <c r="H88" s="271">
        <v>100000</v>
      </c>
      <c r="I88" s="231"/>
      <c r="J88" s="231"/>
      <c r="K88" s="267">
        <f t="shared" ref="K88:K101" si="15">SUM(C88:J88)</f>
        <v>100000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v>626800</v>
      </c>
      <c r="I92" s="231"/>
      <c r="J92" s="231"/>
      <c r="K92" s="267">
        <f t="shared" si="15"/>
        <v>626800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726800</v>
      </c>
      <c r="I94" s="231"/>
      <c r="J94" s="231"/>
      <c r="K94" s="304">
        <f>SUM(K87:K93)</f>
        <v>726800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0</v>
      </c>
      <c r="F104" s="231"/>
      <c r="G104" s="230"/>
      <c r="H104" s="243">
        <f>SUM(H86,H94,H102,H103)</f>
        <v>752800</v>
      </c>
      <c r="I104" s="231"/>
      <c r="J104" s="231"/>
      <c r="K104" s="243">
        <f>SUM(K86,K94,K102,K103)</f>
        <v>752800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3390050</v>
      </c>
      <c r="D116" s="304">
        <f t="shared" ref="D116:K116" si="16">SUM(D34,D76,D77,D104,D114,D115,)</f>
        <v>631050</v>
      </c>
      <c r="E116" s="304">
        <f t="shared" si="16"/>
        <v>417300</v>
      </c>
      <c r="F116" s="304">
        <f t="shared" si="16"/>
        <v>219300</v>
      </c>
      <c r="G116" s="304">
        <f t="shared" si="16"/>
        <v>56300</v>
      </c>
      <c r="H116" s="304">
        <f t="shared" si="16"/>
        <v>772500</v>
      </c>
      <c r="I116" s="304">
        <f t="shared" si="16"/>
        <v>0</v>
      </c>
      <c r="J116" s="304">
        <f t="shared" si="16"/>
        <v>0</v>
      </c>
      <c r="K116" s="304">
        <f t="shared" si="16"/>
        <v>5486500</v>
      </c>
      <c r="L116" s="1032"/>
    </row>
    <row r="117" spans="1:12" ht="17.25" thickTop="1" thickBot="1" x14ac:dyDescent="0.25">
      <c r="A117" s="982" t="s">
        <v>763</v>
      </c>
      <c r="B117" s="1425"/>
      <c r="C117" s="304">
        <f>SUM(C35,C76,C77,C104,C114,C115,)</f>
        <v>3390050</v>
      </c>
      <c r="D117" s="304">
        <f>SUM(D35,D76,D77,D104,D114,D115,)</f>
        <v>631050</v>
      </c>
      <c r="E117" s="304">
        <f t="shared" ref="E117:K117" si="17">SUM(E35,E76,E77,E104,E114,E115,)</f>
        <v>417300</v>
      </c>
      <c r="F117" s="304">
        <f t="shared" si="17"/>
        <v>219300</v>
      </c>
      <c r="G117" s="304">
        <f t="shared" si="17"/>
        <v>56300</v>
      </c>
      <c r="H117" s="304">
        <f t="shared" si="17"/>
        <v>772500</v>
      </c>
      <c r="I117" s="304">
        <f t="shared" si="17"/>
        <v>0</v>
      </c>
      <c r="J117" s="304">
        <f t="shared" si="17"/>
        <v>0</v>
      </c>
      <c r="K117" s="304">
        <f t="shared" si="17"/>
        <v>5486500</v>
      </c>
      <c r="L117" s="1032"/>
    </row>
    <row r="118" spans="1:12" ht="24" thickTop="1" thickBot="1" x14ac:dyDescent="0.25">
      <c r="A118" s="1226" t="s">
        <v>1916</v>
      </c>
      <c r="B118" s="1426"/>
      <c r="C118" s="580"/>
      <c r="D118" s="580"/>
      <c r="E118" s="580"/>
      <c r="F118" s="580"/>
      <c r="G118" s="580"/>
      <c r="H118" s="580"/>
      <c r="I118" s="580"/>
      <c r="J118" s="580"/>
      <c r="K118" s="304">
        <f>'EstRev 6-11'!C272-'EstExp 12-20'!K116</f>
        <v>0</v>
      </c>
    </row>
    <row r="119" spans="1:12" ht="24" thickTop="1" thickBot="1" x14ac:dyDescent="0.25">
      <c r="A119" s="1227" t="s">
        <v>1917</v>
      </c>
      <c r="B119" s="1427"/>
      <c r="C119" s="1404"/>
      <c r="D119" s="369"/>
      <c r="E119" s="369"/>
      <c r="F119" s="369"/>
      <c r="G119" s="369"/>
      <c r="H119" s="369"/>
      <c r="I119" s="369"/>
      <c r="J119" s="1405"/>
      <c r="K119" s="304">
        <f>'EstRev 6-11'!C273-'EstExp 12-20'!K117</f>
        <v>0</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220000</v>
      </c>
      <c r="D128" s="328">
        <v>18200</v>
      </c>
      <c r="E128" s="328">
        <v>174281</v>
      </c>
      <c r="F128" s="328">
        <v>158200</v>
      </c>
      <c r="G128" s="328">
        <v>80000</v>
      </c>
      <c r="H128" s="328">
        <v>100</v>
      </c>
      <c r="I128" s="328"/>
      <c r="J128" s="328"/>
      <c r="K128" s="189">
        <f>SUM(C128:J128)</f>
        <v>650781</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220000</v>
      </c>
      <c r="D131" s="319">
        <f>SUM(D126:D129)</f>
        <v>18200</v>
      </c>
      <c r="E131" s="319">
        <f t="shared" ref="E131:K131" si="18">SUM(E126:E130)</f>
        <v>174281</v>
      </c>
      <c r="F131" s="319">
        <f t="shared" si="18"/>
        <v>158200</v>
      </c>
      <c r="G131" s="319">
        <f>SUM(G126:G130)</f>
        <v>80000</v>
      </c>
      <c r="H131" s="319">
        <f>SUM(H126:H130)</f>
        <v>100</v>
      </c>
      <c r="I131" s="319">
        <f t="shared" si="18"/>
        <v>0</v>
      </c>
      <c r="J131" s="319">
        <f t="shared" si="18"/>
        <v>0</v>
      </c>
      <c r="K131" s="319">
        <f t="shared" si="18"/>
        <v>650781</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220000</v>
      </c>
      <c r="D133" s="320">
        <f t="shared" ref="D133:K133" si="19">SUM(D124,D131,D132)</f>
        <v>18200</v>
      </c>
      <c r="E133" s="320">
        <f t="shared" si="19"/>
        <v>174281</v>
      </c>
      <c r="F133" s="320">
        <f t="shared" si="19"/>
        <v>158200</v>
      </c>
      <c r="G133" s="320">
        <f>SUM(G124,G131,G132)</f>
        <v>80000</v>
      </c>
      <c r="H133" s="320">
        <f>SUM(H124,H131,H132)</f>
        <v>100</v>
      </c>
      <c r="I133" s="320">
        <f t="shared" si="19"/>
        <v>0</v>
      </c>
      <c r="J133" s="320">
        <f t="shared" si="19"/>
        <v>0</v>
      </c>
      <c r="K133" s="320">
        <f t="shared" si="19"/>
        <v>650781</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220000</v>
      </c>
      <c r="D155" s="339">
        <f t="shared" ref="D155:J155" si="20">SUM(D133,D134,D143,D153,D154)</f>
        <v>18200</v>
      </c>
      <c r="E155" s="339">
        <f>SUM(E133,E134,E143)</f>
        <v>174281</v>
      </c>
      <c r="F155" s="339">
        <f t="shared" si="20"/>
        <v>158200</v>
      </c>
      <c r="G155" s="339">
        <f t="shared" si="20"/>
        <v>80000</v>
      </c>
      <c r="H155" s="339">
        <f>SUM(H133,H134,H143,H153,H154)</f>
        <v>100</v>
      </c>
      <c r="I155" s="339">
        <f t="shared" si="20"/>
        <v>0</v>
      </c>
      <c r="J155" s="339">
        <f t="shared" si="20"/>
        <v>0</v>
      </c>
      <c r="K155" s="333">
        <f>SUM(K133,K134,K143,K153,K154)</f>
        <v>650781</v>
      </c>
      <c r="L155" s="1032"/>
    </row>
    <row r="156" spans="1:12" ht="14.25" thickTop="1" thickBot="1" x14ac:dyDescent="0.25">
      <c r="A156" s="1181" t="s">
        <v>67</v>
      </c>
      <c r="B156" s="1182"/>
      <c r="C156" s="341"/>
      <c r="D156" s="341"/>
      <c r="E156" s="341"/>
      <c r="F156" s="341"/>
      <c r="G156" s="341"/>
      <c r="H156" s="342"/>
      <c r="I156" s="341"/>
      <c r="J156" s="343"/>
      <c r="K156" s="337">
        <f>'EstRev 6-11'!D272-'EstExp 12-20'!K155</f>
        <v>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c r="I173" s="365"/>
      <c r="J173" s="353"/>
      <c r="K173" s="189">
        <f t="shared" si="21"/>
        <v>0</v>
      </c>
    </row>
    <row r="174" spans="1:11" ht="26.25" x14ac:dyDescent="0.2">
      <c r="A174" s="1125" t="s">
        <v>1968</v>
      </c>
      <c r="B174" s="1167">
        <v>5300</v>
      </c>
      <c r="C174" s="352"/>
      <c r="D174" s="352"/>
      <c r="E174" s="358"/>
      <c r="F174" s="352"/>
      <c r="G174" s="358"/>
      <c r="H174" s="354"/>
      <c r="I174" s="352"/>
      <c r="J174" s="353"/>
      <c r="K174" s="189">
        <f t="shared" si="21"/>
        <v>0</v>
      </c>
    </row>
    <row r="175" spans="1:11" ht="12" x14ac:dyDescent="0.2">
      <c r="A175" s="1164" t="s">
        <v>890</v>
      </c>
      <c r="B175" s="1167">
        <v>5400</v>
      </c>
      <c r="C175" s="352"/>
      <c r="D175" s="352"/>
      <c r="E175" s="354"/>
      <c r="F175" s="352"/>
      <c r="G175" s="352"/>
      <c r="H175" s="354"/>
      <c r="I175" s="352"/>
      <c r="J175" s="352"/>
      <c r="K175" s="189">
        <f>SUM(C175:J175)</f>
        <v>0</v>
      </c>
    </row>
    <row r="176" spans="1:11" ht="12.75" thickBot="1" x14ac:dyDescent="0.25">
      <c r="A176" s="1163" t="s">
        <v>176</v>
      </c>
      <c r="B176" s="1430">
        <v>5000</v>
      </c>
      <c r="C176" s="352"/>
      <c r="D176" s="352"/>
      <c r="E176" s="366">
        <f>SUM(E172:E175)</f>
        <v>0</v>
      </c>
      <c r="F176" s="352"/>
      <c r="G176" s="352"/>
      <c r="H176" s="366">
        <f>SUM(H172:H175)</f>
        <v>0</v>
      </c>
      <c r="I176" s="352"/>
      <c r="J176" s="352"/>
      <c r="K176" s="363">
        <f>SUM(K172:K175)</f>
        <v>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0</v>
      </c>
      <c r="I178" s="352"/>
      <c r="J178" s="352"/>
      <c r="K178" s="363">
        <f>SUM(K164,K176,K177)</f>
        <v>0</v>
      </c>
    </row>
    <row r="179" spans="1:11" ht="13.5" thickTop="1" thickBot="1" x14ac:dyDescent="0.25">
      <c r="A179" s="1763" t="s">
        <v>67</v>
      </c>
      <c r="B179" s="1764"/>
      <c r="C179" s="362"/>
      <c r="D179" s="362"/>
      <c r="E179" s="368"/>
      <c r="F179" s="362"/>
      <c r="G179" s="362"/>
      <c r="H179" s="369"/>
      <c r="I179" s="362"/>
      <c r="J179" s="362"/>
      <c r="K179" s="370">
        <f>'EstRev 6-11'!E272-'EstExp 12-20'!K178</f>
        <v>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148200</v>
      </c>
      <c r="D186" s="378">
        <v>500</v>
      </c>
      <c r="E186" s="378">
        <v>162300</v>
      </c>
      <c r="F186" s="378">
        <v>42500</v>
      </c>
      <c r="G186" s="378">
        <v>200</v>
      </c>
      <c r="H186" s="378">
        <v>300</v>
      </c>
      <c r="I186" s="378"/>
      <c r="J186" s="378"/>
      <c r="K186" s="189">
        <f>SUM(C186:J186)</f>
        <v>354000</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148200</v>
      </c>
      <c r="D188" s="379">
        <f t="shared" ref="D188:J188" si="22">SUM(D184,D186,D187)</f>
        <v>500</v>
      </c>
      <c r="E188" s="379">
        <f t="shared" si="22"/>
        <v>162300</v>
      </c>
      <c r="F188" s="379">
        <f t="shared" si="22"/>
        <v>42500</v>
      </c>
      <c r="G188" s="379">
        <f t="shared" si="22"/>
        <v>200</v>
      </c>
      <c r="H188" s="379">
        <f t="shared" si="22"/>
        <v>300</v>
      </c>
      <c r="I188" s="379">
        <f t="shared" si="22"/>
        <v>0</v>
      </c>
      <c r="J188" s="379">
        <f t="shared" si="22"/>
        <v>0</v>
      </c>
      <c r="K188" s="379">
        <f t="shared" ref="K188" si="23">SUM(K184,K186,K187)</f>
        <v>354000</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c r="I209" s="330"/>
      <c r="J209" s="330"/>
      <c r="K209" s="582">
        <f>H209</f>
        <v>0</v>
      </c>
    </row>
    <row r="210" spans="1:11" s="1017" customFormat="1" ht="26.25" x14ac:dyDescent="0.2">
      <c r="A210" s="1125" t="s">
        <v>1968</v>
      </c>
      <c r="B210" s="1414">
        <v>5300</v>
      </c>
      <c r="C210" s="330"/>
      <c r="D210" s="330"/>
      <c r="E210" s="330"/>
      <c r="F210" s="330"/>
      <c r="G210" s="392"/>
      <c r="H210" s="378"/>
      <c r="I210" s="330"/>
      <c r="J210" s="330"/>
      <c r="K210" s="189">
        <f t="shared" si="25"/>
        <v>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0</v>
      </c>
      <c r="I212" s="392"/>
      <c r="J212" s="392"/>
      <c r="K212" s="395">
        <f>SUM(K208:K211)</f>
        <v>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1" t="s">
        <v>439</v>
      </c>
      <c r="B214" s="1762"/>
      <c r="C214" s="393">
        <f>SUM(C188,C189)</f>
        <v>148200</v>
      </c>
      <c r="D214" s="393">
        <f t="shared" ref="D214:K214" si="26">SUM(D188,D189,D200,D212,D213)</f>
        <v>500</v>
      </c>
      <c r="E214" s="393">
        <f>SUM(E188,E189,E200,E212,E213)</f>
        <v>162300</v>
      </c>
      <c r="F214" s="393">
        <f t="shared" si="26"/>
        <v>42500</v>
      </c>
      <c r="G214" s="393">
        <f t="shared" si="26"/>
        <v>200</v>
      </c>
      <c r="H214" s="393">
        <f>SUM(H188,H189,H200,H212,H213)</f>
        <v>300</v>
      </c>
      <c r="I214" s="393">
        <f>SUM(I188,I189,I200,I212,I213)</f>
        <v>0</v>
      </c>
      <c r="J214" s="393">
        <f t="shared" si="26"/>
        <v>0</v>
      </c>
      <c r="K214" s="393">
        <f t="shared" si="26"/>
        <v>354000</v>
      </c>
    </row>
    <row r="215" spans="1:11" ht="14.25" thickTop="1" thickBot="1" x14ac:dyDescent="0.25">
      <c r="A215" s="1114" t="s">
        <v>67</v>
      </c>
      <c r="B215" s="1432"/>
      <c r="C215" s="397"/>
      <c r="D215" s="397"/>
      <c r="E215" s="397"/>
      <c r="F215" s="397"/>
      <c r="G215" s="397"/>
      <c r="H215" s="397"/>
      <c r="I215" s="397"/>
      <c r="J215" s="398"/>
      <c r="K215" s="395">
        <f>'EstRev 6-11'!F272-'EstExp 12-20'!K214</f>
        <v>-41000</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29100</v>
      </c>
      <c r="E219" s="405"/>
      <c r="F219" s="405"/>
      <c r="G219" s="405"/>
      <c r="H219" s="405"/>
      <c r="I219" s="405"/>
      <c r="J219" s="405"/>
      <c r="K219" s="267">
        <f>SUM(C219:J219)</f>
        <v>29100</v>
      </c>
    </row>
    <row r="220" spans="1:11" ht="12" x14ac:dyDescent="0.2">
      <c r="A220" s="1107" t="s">
        <v>279</v>
      </c>
      <c r="B220" s="1108">
        <v>1125</v>
      </c>
      <c r="C220" s="405"/>
      <c r="D220" s="404">
        <v>600</v>
      </c>
      <c r="E220" s="405"/>
      <c r="F220" s="405"/>
      <c r="G220" s="405"/>
      <c r="H220" s="405"/>
      <c r="I220" s="405"/>
      <c r="J220" s="405"/>
      <c r="K220" s="189">
        <f t="shared" ref="K220:K232" si="27">SUM(C220:J220)</f>
        <v>600</v>
      </c>
    </row>
    <row r="221" spans="1:11" ht="12" x14ac:dyDescent="0.2">
      <c r="A221" s="1113" t="s">
        <v>486</v>
      </c>
      <c r="B221" s="1108">
        <v>1200</v>
      </c>
      <c r="C221" s="405"/>
      <c r="D221" s="404">
        <v>13600</v>
      </c>
      <c r="E221" s="405"/>
      <c r="F221" s="405"/>
      <c r="G221" s="405"/>
      <c r="H221" s="405"/>
      <c r="I221" s="405"/>
      <c r="J221" s="405"/>
      <c r="K221" s="189">
        <f t="shared" si="27"/>
        <v>13600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v>10800</v>
      </c>
      <c r="E223" s="405"/>
      <c r="F223" s="405"/>
      <c r="G223" s="405"/>
      <c r="H223" s="405"/>
      <c r="I223" s="405"/>
      <c r="J223" s="405"/>
      <c r="K223" s="189">
        <f t="shared" si="27"/>
        <v>10800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c r="E226" s="405"/>
      <c r="F226" s="405"/>
      <c r="G226" s="405"/>
      <c r="H226" s="405"/>
      <c r="I226" s="405"/>
      <c r="J226" s="405"/>
      <c r="K226" s="189">
        <f t="shared" si="27"/>
        <v>0</v>
      </c>
    </row>
    <row r="227" spans="1:11" ht="12" x14ac:dyDescent="0.2">
      <c r="A227" s="1107" t="s">
        <v>262</v>
      </c>
      <c r="B227" s="1108">
        <v>1500</v>
      </c>
      <c r="C227" s="405"/>
      <c r="D227" s="404">
        <v>10000</v>
      </c>
      <c r="E227" s="405"/>
      <c r="F227" s="405"/>
      <c r="G227" s="405"/>
      <c r="H227" s="405"/>
      <c r="I227" s="405"/>
      <c r="J227" s="405"/>
      <c r="K227" s="189">
        <f t="shared" si="27"/>
        <v>10000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v>600</v>
      </c>
      <c r="E230" s="405"/>
      <c r="F230" s="405"/>
      <c r="G230" s="405"/>
      <c r="H230" s="405"/>
      <c r="I230" s="405"/>
      <c r="J230" s="405"/>
      <c r="K230" s="189">
        <f t="shared" si="27"/>
        <v>600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64700</v>
      </c>
      <c r="E233" s="405"/>
      <c r="F233" s="405"/>
      <c r="G233" s="405"/>
      <c r="H233" s="405"/>
      <c r="I233" s="405"/>
      <c r="J233" s="405"/>
      <c r="K233" s="406">
        <f>SUM(K219:K232)</f>
        <v>64700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v>900</v>
      </c>
      <c r="E236" s="405"/>
      <c r="F236" s="405"/>
      <c r="G236" s="405"/>
      <c r="H236" s="405"/>
      <c r="I236" s="405"/>
      <c r="J236" s="405"/>
      <c r="K236" s="189">
        <f t="shared" ref="K236:K241" si="28">SUM(C236:J236)</f>
        <v>900</v>
      </c>
    </row>
    <row r="237" spans="1:11" ht="12" x14ac:dyDescent="0.2">
      <c r="A237" s="1107" t="s">
        <v>131</v>
      </c>
      <c r="B237" s="1108">
        <v>2120</v>
      </c>
      <c r="C237" s="405"/>
      <c r="D237" s="404">
        <v>700</v>
      </c>
      <c r="E237" s="405"/>
      <c r="F237" s="405"/>
      <c r="G237" s="405"/>
      <c r="H237" s="405"/>
      <c r="I237" s="405"/>
      <c r="J237" s="405"/>
      <c r="K237" s="189">
        <f t="shared" si="28"/>
        <v>700</v>
      </c>
    </row>
    <row r="238" spans="1:11" ht="12" x14ac:dyDescent="0.2">
      <c r="A238" s="1107" t="s">
        <v>132</v>
      </c>
      <c r="B238" s="1108">
        <v>2130</v>
      </c>
      <c r="C238" s="405"/>
      <c r="D238" s="404"/>
      <c r="E238" s="405"/>
      <c r="F238" s="405"/>
      <c r="G238" s="405"/>
      <c r="H238" s="405"/>
      <c r="I238" s="405"/>
      <c r="J238" s="405"/>
      <c r="K238" s="189">
        <f t="shared" si="28"/>
        <v>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c r="E240" s="405"/>
      <c r="F240" s="405"/>
      <c r="G240" s="405"/>
      <c r="H240" s="405"/>
      <c r="I240" s="405"/>
      <c r="J240" s="405"/>
      <c r="K240" s="189">
        <f t="shared" si="28"/>
        <v>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1600</v>
      </c>
      <c r="E242" s="405"/>
      <c r="F242" s="405"/>
      <c r="G242" s="405"/>
      <c r="H242" s="405"/>
      <c r="I242" s="405"/>
      <c r="J242" s="405"/>
      <c r="K242" s="626">
        <f>SUM(K236:K241)</f>
        <v>1600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v>500</v>
      </c>
      <c r="E244" s="412"/>
      <c r="F244" s="410"/>
      <c r="G244" s="410"/>
      <c r="H244" s="410"/>
      <c r="I244" s="410"/>
      <c r="J244" s="410"/>
      <c r="K244" s="189">
        <f>SUM(C244:J244)</f>
        <v>500</v>
      </c>
    </row>
    <row r="245" spans="1:11" ht="12" x14ac:dyDescent="0.2">
      <c r="A245" s="1103" t="s">
        <v>258</v>
      </c>
      <c r="B245" s="1434">
        <v>2220</v>
      </c>
      <c r="C245" s="411"/>
      <c r="D245" s="404">
        <v>1300</v>
      </c>
      <c r="E245" s="410"/>
      <c r="F245" s="410"/>
      <c r="G245" s="410"/>
      <c r="H245" s="410"/>
      <c r="I245" s="410"/>
      <c r="J245" s="410"/>
      <c r="K245" s="189">
        <f>SUM(C245:J245)</f>
        <v>1300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1800</v>
      </c>
      <c r="E247" s="410"/>
      <c r="F247" s="410"/>
      <c r="G247" s="410"/>
      <c r="H247" s="410"/>
      <c r="I247" s="410"/>
      <c r="J247" s="410"/>
      <c r="K247" s="414">
        <f>SUM(K244:K246)</f>
        <v>1800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v>150</v>
      </c>
      <c r="E249" s="410"/>
      <c r="F249" s="410"/>
      <c r="G249" s="410"/>
      <c r="H249" s="410"/>
      <c r="I249" s="410"/>
      <c r="J249" s="410"/>
      <c r="K249" s="189">
        <f>SUM(C249:J249)</f>
        <v>150</v>
      </c>
    </row>
    <row r="250" spans="1:11" ht="12" x14ac:dyDescent="0.2">
      <c r="A250" s="1092" t="s">
        <v>294</v>
      </c>
      <c r="B250" s="1093">
        <v>2320</v>
      </c>
      <c r="C250" s="411"/>
      <c r="D250" s="404">
        <v>3300</v>
      </c>
      <c r="E250" s="410"/>
      <c r="F250" s="410"/>
      <c r="G250" s="410"/>
      <c r="H250" s="410"/>
      <c r="I250" s="410"/>
      <c r="J250" s="410"/>
      <c r="K250" s="189">
        <f t="shared" ref="K250:K253" si="29">SUM(C250:J250)</f>
        <v>3300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3450</v>
      </c>
      <c r="E254" s="410"/>
      <c r="F254" s="410"/>
      <c r="G254" s="410"/>
      <c r="H254" s="410"/>
      <c r="I254" s="410"/>
      <c r="J254" s="410"/>
      <c r="K254" s="414">
        <f>K249+K250+K251+K252+K253</f>
        <v>3450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39700</v>
      </c>
      <c r="E256" s="410"/>
      <c r="F256" s="410"/>
      <c r="G256" s="410"/>
      <c r="H256" s="410"/>
      <c r="I256" s="410"/>
      <c r="J256" s="410"/>
      <c r="K256" s="189">
        <f>SUM(C256:J256)</f>
        <v>39700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39700</v>
      </c>
      <c r="E258" s="410"/>
      <c r="F258" s="410"/>
      <c r="G258" s="410"/>
      <c r="H258" s="410"/>
      <c r="I258" s="410"/>
      <c r="J258" s="410"/>
      <c r="K258" s="414">
        <f>SUM(K256:K257)</f>
        <v>39700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v>12600</v>
      </c>
      <c r="E261" s="410"/>
      <c r="F261" s="410"/>
      <c r="G261" s="410"/>
      <c r="H261" s="410"/>
      <c r="I261" s="410"/>
      <c r="J261" s="410"/>
      <c r="K261" s="189">
        <f t="shared" ref="K261:K266" si="30">SUM(C261:J261)</f>
        <v>12600</v>
      </c>
    </row>
    <row r="262" spans="1:11" ht="12" x14ac:dyDescent="0.2">
      <c r="A262" s="1088" t="s">
        <v>225</v>
      </c>
      <c r="B262" s="1094" t="s">
        <v>239</v>
      </c>
      <c r="C262" s="415"/>
      <c r="D262" s="404"/>
      <c r="E262" s="416"/>
      <c r="F262" s="416"/>
      <c r="G262" s="416"/>
      <c r="H262" s="416"/>
      <c r="I262" s="416"/>
      <c r="J262" s="416"/>
      <c r="K262" s="189">
        <f t="shared" si="30"/>
        <v>0</v>
      </c>
    </row>
    <row r="263" spans="1:11" ht="12" x14ac:dyDescent="0.2">
      <c r="A263" s="1088" t="s">
        <v>251</v>
      </c>
      <c r="B263" s="1089">
        <v>2540</v>
      </c>
      <c r="C263" s="415"/>
      <c r="D263" s="404">
        <v>36500</v>
      </c>
      <c r="E263" s="416"/>
      <c r="F263" s="416"/>
      <c r="G263" s="416"/>
      <c r="H263" s="416"/>
      <c r="I263" s="416"/>
      <c r="J263" s="416"/>
      <c r="K263" s="189">
        <f t="shared" si="30"/>
        <v>36500</v>
      </c>
    </row>
    <row r="264" spans="1:11" ht="12" x14ac:dyDescent="0.2">
      <c r="A264" s="1088" t="s">
        <v>364</v>
      </c>
      <c r="B264" s="1089">
        <v>2550</v>
      </c>
      <c r="C264" s="415"/>
      <c r="D264" s="404">
        <v>27850</v>
      </c>
      <c r="E264" s="416"/>
      <c r="F264" s="416"/>
      <c r="G264" s="416"/>
      <c r="H264" s="416"/>
      <c r="I264" s="416"/>
      <c r="J264" s="416"/>
      <c r="K264" s="189">
        <f t="shared" si="30"/>
        <v>27850</v>
      </c>
    </row>
    <row r="265" spans="1:11" ht="12" x14ac:dyDescent="0.2">
      <c r="A265" s="1088" t="s">
        <v>365</v>
      </c>
      <c r="B265" s="1089">
        <v>2560</v>
      </c>
      <c r="C265" s="415"/>
      <c r="D265" s="404">
        <v>17800</v>
      </c>
      <c r="E265" s="416"/>
      <c r="F265" s="416"/>
      <c r="G265" s="416"/>
      <c r="H265" s="416"/>
      <c r="I265" s="416"/>
      <c r="J265" s="416"/>
      <c r="K265" s="189">
        <f t="shared" si="30"/>
        <v>17800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94750</v>
      </c>
      <c r="E267" s="416"/>
      <c r="F267" s="416"/>
      <c r="G267" s="416"/>
      <c r="H267" s="416"/>
      <c r="I267" s="416"/>
      <c r="J267" s="416"/>
      <c r="K267" s="417">
        <f>SUM(K260:K266)</f>
        <v>94750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141300</v>
      </c>
      <c r="E276" s="416"/>
      <c r="F276" s="416"/>
      <c r="G276" s="416"/>
      <c r="H276" s="416"/>
      <c r="I276" s="416"/>
      <c r="J276" s="416"/>
      <c r="K276" s="421">
        <f>SUM(K242,K247,K254,K258,K267,K274,K275)</f>
        <v>141300</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9" t="s">
        <v>439</v>
      </c>
      <c r="B292" s="1760"/>
      <c r="C292" s="423"/>
      <c r="D292" s="430">
        <f>SUM(D233,D276,D277,D282)</f>
        <v>206000</v>
      </c>
      <c r="E292" s="423"/>
      <c r="F292" s="423"/>
      <c r="G292" s="423"/>
      <c r="H292" s="430">
        <f>SUM(H290,H291)</f>
        <v>0</v>
      </c>
      <c r="I292" s="423"/>
      <c r="J292" s="433"/>
      <c r="K292" s="430">
        <f>SUM(K233,K276,K277,K282,K290,K291)</f>
        <v>206000</v>
      </c>
    </row>
    <row r="293" spans="1:11" ht="13.5" thickTop="1" thickBot="1" x14ac:dyDescent="0.25">
      <c r="A293" s="1765" t="s">
        <v>67</v>
      </c>
      <c r="B293" s="1766"/>
      <c r="C293" s="434"/>
      <c r="D293" s="434"/>
      <c r="E293" s="434"/>
      <c r="F293" s="434"/>
      <c r="G293" s="434"/>
      <c r="H293" s="434"/>
      <c r="I293" s="434"/>
      <c r="J293" s="435"/>
      <c r="K293" s="436">
        <f>'EstRev 6-11'!G272-'EstExp 12-20'!K292</f>
        <v>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c r="F298" s="429"/>
      <c r="G298" s="429"/>
      <c r="H298" s="429"/>
      <c r="I298" s="429"/>
      <c r="J298" s="444"/>
      <c r="K298" s="189">
        <f>SUM(C298:J298)</f>
        <v>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0</v>
      </c>
      <c r="H300" s="447">
        <f t="shared" si="31"/>
        <v>0</v>
      </c>
      <c r="I300" s="447">
        <f t="shared" si="31"/>
        <v>0</v>
      </c>
      <c r="J300" s="444"/>
      <c r="K300" s="447">
        <f t="shared" si="31"/>
        <v>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0</v>
      </c>
      <c r="H309" s="456">
        <f>SUM(H300,H307,H308)</f>
        <v>0</v>
      </c>
      <c r="I309" s="456">
        <f>SUM(I300)</f>
        <v>0</v>
      </c>
      <c r="J309" s="444"/>
      <c r="K309" s="456">
        <f>SUM(K300,K307,K308)</f>
        <v>0</v>
      </c>
    </row>
    <row r="310" spans="1:12" ht="14.25" thickTop="1" thickBot="1" x14ac:dyDescent="0.25">
      <c r="A310" s="1040" t="s">
        <v>67</v>
      </c>
      <c r="B310" s="1439"/>
      <c r="C310" s="445"/>
      <c r="D310" s="445"/>
      <c r="E310" s="445"/>
      <c r="F310" s="445"/>
      <c r="G310" s="445"/>
      <c r="H310" s="445"/>
      <c r="I310" s="445"/>
      <c r="J310" s="1041"/>
      <c r="K310" s="458">
        <f>'EstRev 6-11'!H272-'EstExp 12-20'!K309</f>
        <v>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c r="D316" s="429"/>
      <c r="E316" s="429"/>
      <c r="F316" s="429"/>
      <c r="G316" s="429"/>
      <c r="H316" s="429"/>
      <c r="I316" s="429"/>
      <c r="J316" s="429"/>
      <c r="K316" s="267">
        <f>SUM(C316:J316)</f>
        <v>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c r="D319" s="429"/>
      <c r="E319" s="429"/>
      <c r="F319" s="429"/>
      <c r="G319" s="429"/>
      <c r="H319" s="429"/>
      <c r="I319" s="429"/>
      <c r="J319" s="429"/>
      <c r="K319" s="189">
        <f t="shared" si="32"/>
        <v>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c r="D324" s="429"/>
      <c r="E324" s="429"/>
      <c r="F324" s="429"/>
      <c r="G324" s="429"/>
      <c r="H324" s="429"/>
      <c r="I324" s="429"/>
      <c r="J324" s="429"/>
      <c r="K324" s="189">
        <f t="shared" si="32"/>
        <v>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c r="D328" s="429"/>
      <c r="E328" s="429"/>
      <c r="F328" s="429"/>
      <c r="G328" s="429"/>
      <c r="H328" s="429"/>
      <c r="I328" s="429"/>
      <c r="J328" s="429"/>
      <c r="K328" s="189">
        <f t="shared" si="32"/>
        <v>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c r="D347" s="429"/>
      <c r="E347" s="429"/>
      <c r="F347" s="429"/>
      <c r="G347" s="429"/>
      <c r="H347" s="429"/>
      <c r="I347" s="429"/>
      <c r="J347" s="429"/>
      <c r="K347" s="189">
        <f t="shared" ref="K347:K352" si="34">SUM(C347:J347)</f>
        <v>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c r="D349" s="429"/>
      <c r="E349" s="429"/>
      <c r="F349" s="429"/>
      <c r="G349" s="429"/>
      <c r="H349" s="429"/>
      <c r="I349" s="429"/>
      <c r="J349" s="429"/>
      <c r="K349" s="189">
        <f t="shared" si="34"/>
        <v>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c r="F360" s="429"/>
      <c r="G360" s="429"/>
      <c r="H360" s="429"/>
      <c r="I360" s="429"/>
      <c r="J360" s="253"/>
      <c r="K360" s="189">
        <f>SUM(C360:J360)</f>
        <v>0</v>
      </c>
    </row>
    <row r="361" spans="1:11" ht="12" x14ac:dyDescent="0.2">
      <c r="A361" s="1013" t="s">
        <v>294</v>
      </c>
      <c r="B361" s="1014">
        <v>2320</v>
      </c>
      <c r="C361" s="429"/>
      <c r="D361" s="429"/>
      <c r="E361" s="429"/>
      <c r="F361" s="429"/>
      <c r="G361" s="429"/>
      <c r="H361" s="429"/>
      <c r="I361" s="429"/>
      <c r="J361" s="253"/>
      <c r="K361" s="189">
        <f>SUM(C361:J361)</f>
        <v>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v>2000</v>
      </c>
      <c r="F363" s="429"/>
      <c r="G363" s="429"/>
      <c r="H363" s="429"/>
      <c r="I363" s="429"/>
      <c r="J363" s="588"/>
      <c r="K363" s="589">
        <f>SUM(C363:J363)</f>
        <v>2000</v>
      </c>
    </row>
    <row r="364" spans="1:11" ht="12" x14ac:dyDescent="0.2">
      <c r="A364" s="1018" t="s">
        <v>284</v>
      </c>
      <c r="B364" s="1442">
        <v>2365</v>
      </c>
      <c r="C364" s="429"/>
      <c r="D364" s="429"/>
      <c r="E364" s="429">
        <v>147000</v>
      </c>
      <c r="F364" s="429"/>
      <c r="G364" s="429"/>
      <c r="H364" s="429"/>
      <c r="I364" s="429"/>
      <c r="J364" s="588"/>
      <c r="K364" s="590">
        <f t="shared" ref="K364" si="37">SUM(C364:J364)</f>
        <v>147000</v>
      </c>
    </row>
    <row r="365" spans="1:11" ht="12.75" thickBot="1" x14ac:dyDescent="0.25">
      <c r="A365" s="1011" t="s">
        <v>502</v>
      </c>
      <c r="B365" s="983">
        <v>2300</v>
      </c>
      <c r="C365" s="192">
        <f t="shared" ref="C365:K365" si="38">SUM(C360:C364)</f>
        <v>0</v>
      </c>
      <c r="D365" s="192">
        <f t="shared" si="38"/>
        <v>0</v>
      </c>
      <c r="E365" s="192">
        <f t="shared" si="38"/>
        <v>149000</v>
      </c>
      <c r="F365" s="192">
        <f t="shared" si="38"/>
        <v>0</v>
      </c>
      <c r="G365" s="192">
        <f t="shared" si="38"/>
        <v>0</v>
      </c>
      <c r="H365" s="192">
        <f t="shared" si="38"/>
        <v>0</v>
      </c>
      <c r="I365" s="192">
        <f t="shared" si="38"/>
        <v>0</v>
      </c>
      <c r="J365" s="192">
        <f t="shared" si="38"/>
        <v>0</v>
      </c>
      <c r="K365" s="192">
        <f t="shared" si="38"/>
        <v>149000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c r="D367" s="429"/>
      <c r="E367" s="429"/>
      <c r="F367" s="429"/>
      <c r="G367" s="429"/>
      <c r="H367" s="429"/>
      <c r="I367" s="429"/>
      <c r="J367" s="429"/>
      <c r="K367" s="189">
        <f>SUM(C367:J367)</f>
        <v>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c r="D372" s="429"/>
      <c r="E372" s="429"/>
      <c r="F372" s="429"/>
      <c r="G372" s="429"/>
      <c r="H372" s="429"/>
      <c r="I372" s="429"/>
      <c r="J372" s="429"/>
      <c r="K372" s="189">
        <f t="shared" si="40"/>
        <v>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c r="D374" s="429"/>
      <c r="E374" s="429"/>
      <c r="F374" s="429"/>
      <c r="G374" s="429"/>
      <c r="H374" s="429"/>
      <c r="I374" s="429"/>
      <c r="J374" s="429"/>
      <c r="K374" s="189">
        <f t="shared" si="40"/>
        <v>0</v>
      </c>
    </row>
    <row r="375" spans="1:11" ht="12" x14ac:dyDescent="0.2">
      <c r="A375" s="994" t="s">
        <v>364</v>
      </c>
      <c r="B375" s="995">
        <v>2550</v>
      </c>
      <c r="C375" s="429"/>
      <c r="D375" s="429"/>
      <c r="E375" s="429"/>
      <c r="F375" s="429"/>
      <c r="G375" s="429"/>
      <c r="H375" s="429"/>
      <c r="I375" s="429"/>
      <c r="J375" s="429"/>
      <c r="K375" s="189">
        <f t="shared" si="40"/>
        <v>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0</v>
      </c>
      <c r="D387" s="291">
        <f t="shared" si="44"/>
        <v>0</v>
      </c>
      <c r="E387" s="291">
        <f t="shared" si="44"/>
        <v>149000</v>
      </c>
      <c r="F387" s="291">
        <f t="shared" si="44"/>
        <v>0</v>
      </c>
      <c r="G387" s="291">
        <f t="shared" si="44"/>
        <v>0</v>
      </c>
      <c r="H387" s="291">
        <f t="shared" si="44"/>
        <v>0</v>
      </c>
      <c r="I387" s="291">
        <f t="shared" si="44"/>
        <v>0</v>
      </c>
      <c r="J387" s="291">
        <f t="shared" si="44"/>
        <v>0</v>
      </c>
      <c r="K387" s="293">
        <f>SUM(C387:J387)</f>
        <v>149000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3" t="s">
        <v>439</v>
      </c>
      <c r="B428" s="1754"/>
      <c r="C428" s="479">
        <f>SUM(C344+C387+C388)</f>
        <v>0</v>
      </c>
      <c r="D428" s="479">
        <f>SUM(D344+D387+D388)</f>
        <v>0</v>
      </c>
      <c r="E428" s="479">
        <f>SUM(E344+E387+E388+E415+E426)</f>
        <v>149000</v>
      </c>
      <c r="F428" s="479">
        <f>SUM(F344+F387+F388)</f>
        <v>0</v>
      </c>
      <c r="G428" s="479">
        <f>SUM(G344+G387+G388)</f>
        <v>0</v>
      </c>
      <c r="H428" s="479">
        <f>SUM(H344+H387+H388+H415+H426+H427)</f>
        <v>0</v>
      </c>
      <c r="I428" s="479">
        <f>SUM(I344+I387+I388)</f>
        <v>0</v>
      </c>
      <c r="J428" s="479">
        <f>SUM(J344+J387+J388)</f>
        <v>0</v>
      </c>
      <c r="K428" s="479">
        <f>SUM(K344+K387+K388+K415+K426+K427)</f>
        <v>149000</v>
      </c>
    </row>
    <row r="429" spans="1:11" ht="14.25" thickTop="1" thickBot="1" x14ac:dyDescent="0.25">
      <c r="A429" s="1755" t="s">
        <v>67</v>
      </c>
      <c r="B429" s="1756"/>
      <c r="C429" s="1410"/>
      <c r="D429" s="1411"/>
      <c r="E429" s="1411"/>
      <c r="F429" s="1411"/>
      <c r="G429" s="1411"/>
      <c r="H429" s="1411"/>
      <c r="I429" s="1411"/>
      <c r="J429" s="1412"/>
      <c r="K429" s="243">
        <f>'EstRev 6-11'!J272-'EstExp 12-20'!K428</f>
        <v>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c r="F435" s="429"/>
      <c r="G435" s="429"/>
      <c r="H435" s="429"/>
      <c r="I435" s="429"/>
      <c r="J435" s="467"/>
      <c r="K435" s="189">
        <f>SUM(C435:J435)</f>
        <v>0</v>
      </c>
    </row>
    <row r="436" spans="1:11" ht="12.75" thickBot="1" x14ac:dyDescent="0.25">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3" t="s">
        <v>439</v>
      </c>
      <c r="B453" s="1754"/>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25" thickTop="1" thickBot="1" x14ac:dyDescent="0.25">
      <c r="A454" s="1755" t="s">
        <v>67</v>
      </c>
      <c r="B454" s="1756"/>
      <c r="C454" s="1406"/>
      <c r="D454" s="1407"/>
      <c r="E454" s="1408"/>
      <c r="F454" s="1408"/>
      <c r="G454" s="1408"/>
      <c r="H454" s="1408"/>
      <c r="I454" s="1408"/>
      <c r="J454" s="1409"/>
      <c r="K454" s="944">
        <f>'EstRev 6-11'!K272-'EstExp 12-20'!K453</f>
        <v>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2"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1"/>
      <c r="B1" s="1679" t="s">
        <v>7228</v>
      </c>
      <c r="C1" s="1651"/>
      <c r="D1" s="1651"/>
      <c r="E1" s="1651"/>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OK</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2">
        <f>IF(SUM('EstRev 6-11'!$C$11:$K$11)&gt;0,SUM('EstRev 6-11'!$C$11:$K$11),"")</f>
        <v>31000</v>
      </c>
      <c r="D5" s="1689" t="s">
        <v>7242</v>
      </c>
      <c r="E5" s="1591"/>
      <c r="F5" s="1593" t="s">
        <v>845</v>
      </c>
      <c r="G5" s="1652" t="str">
        <f>IF(SUM('EstExp 12-20'!$C$43:$J$43)&gt;0,SUM('EstExp 12-20'!$C$43:$J$43),"")</f>
        <v/>
      </c>
      <c r="H5" s="1594"/>
      <c r="I5" s="1592" t="str">
        <f>IF(AND(G5="",H5=""),"OK",IF(AND(G5&lt;&gt;"",H5&lt;&gt;""),"OK","ERROR-Describe Expenditures"))</f>
        <v>OK</v>
      </c>
    </row>
    <row r="6" spans="1:9" ht="15" x14ac:dyDescent="0.2">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2" t="str">
        <f>IF(SUM('EstRev 6-11'!$C$72:$K$72)&gt;0,SUM('EstRev 6-11'!$C$72:$K$72),"")</f>
        <v/>
      </c>
      <c r="D7" s="1594"/>
      <c r="E7" s="1591"/>
      <c r="F7" s="1593" t="s">
        <v>847</v>
      </c>
      <c r="G7" s="1652" t="str">
        <f>IF(SUM('EstExp 12-20'!$C$75:$J$75)&gt;0,SUM('EstExp 12-20'!$C$75:$J$75),"")</f>
        <v/>
      </c>
      <c r="H7" s="1594"/>
      <c r="I7" s="1592" t="str">
        <f t="shared" si="1"/>
        <v>OK</v>
      </c>
    </row>
    <row r="8" spans="1:9" ht="15" x14ac:dyDescent="0.2">
      <c r="A8" s="1592" t="str">
        <f t="shared" si="0"/>
        <v>OK</v>
      </c>
      <c r="B8" s="1589">
        <v>1690</v>
      </c>
      <c r="C8" s="1652" t="str">
        <f>IF(SUM('EstRev 6-11'!$C$74:$K$74)&gt;0,SUM('EstRev 6-11'!$C$74:$K$74),"")</f>
        <v/>
      </c>
      <c r="D8" s="1594"/>
      <c r="E8" s="1591"/>
      <c r="F8" s="1593" t="s">
        <v>848</v>
      </c>
      <c r="G8" s="1652" t="str">
        <f>IF(SUM('EstExp 12-20'!$C$85:$J$85)&gt;0,SUM('EstExp 12-20'!$C$85:$J$85),"")</f>
        <v/>
      </c>
      <c r="H8" s="1594"/>
      <c r="I8" s="1592" t="str">
        <f t="shared" si="1"/>
        <v>OK</v>
      </c>
    </row>
    <row r="9" spans="1:9" ht="15" x14ac:dyDescent="0.2">
      <c r="A9" s="1592" t="str">
        <f t="shared" si="0"/>
        <v>OK</v>
      </c>
      <c r="B9" s="1589">
        <v>1790</v>
      </c>
      <c r="C9" s="1652">
        <f>IF(SUM('EstRev 6-11'!$C$81:$K$81)&gt;0,SUM('EstRev 6-11'!$C$81:$K$81),"")</f>
        <v>9000</v>
      </c>
      <c r="D9" s="1689" t="s">
        <v>7243</v>
      </c>
      <c r="E9" s="1591"/>
      <c r="F9" s="1593" t="s">
        <v>850</v>
      </c>
      <c r="G9" s="1652" t="str">
        <f>IF(SUM('EstExp 12-20'!$C$93:$J$93)&gt;0,SUM('EstExp 12-20'!$C$93:$J$93),"")</f>
        <v/>
      </c>
      <c r="H9" s="1594"/>
      <c r="I9" s="1592" t="str">
        <f t="shared" si="1"/>
        <v>OK</v>
      </c>
    </row>
    <row r="10" spans="1:9" ht="15" x14ac:dyDescent="0.2">
      <c r="A10" s="1592" t="str">
        <f t="shared" si="0"/>
        <v>OK</v>
      </c>
      <c r="B10" s="1589">
        <v>1819</v>
      </c>
      <c r="C10" s="1652">
        <f>IF(SUM('EstRev 6-11'!$C$89:$K$89)&gt;0,SUM('EstRev 6-11'!$C$89:$K$89),"")</f>
        <v>2000</v>
      </c>
      <c r="D10" s="1689" t="s">
        <v>7243</v>
      </c>
      <c r="E10" s="1591"/>
      <c r="F10" s="1593" t="s">
        <v>851</v>
      </c>
      <c r="G10" s="1652" t="str">
        <f>IF(SUM('EstExp 12-20'!$C$101:$J$101)&gt;0,SUM('EstExp 12-20'!$C$101:$J$101),"")</f>
        <v/>
      </c>
      <c r="H10" s="1594"/>
      <c r="I10" s="1592" t="str">
        <f t="shared" si="1"/>
        <v>OK</v>
      </c>
    </row>
    <row r="11" spans="1:9" ht="15" x14ac:dyDescent="0.2">
      <c r="A11" s="1592" t="str">
        <f t="shared" si="0"/>
        <v>OK</v>
      </c>
      <c r="B11" s="1589">
        <v>1829</v>
      </c>
      <c r="C11" s="1652" t="str">
        <f>IF(SUM('EstRev 6-11'!$C$93:$K$93)&gt;0,SUM('EstRev 6-11'!$C$93:$K$93),"")</f>
        <v/>
      </c>
      <c r="D11" s="1594"/>
      <c r="E11" s="1591"/>
      <c r="F11" s="1593" t="s">
        <v>3256</v>
      </c>
      <c r="G11" s="1652" t="str">
        <f>IF(SUM('EstExp 12-20'!$C$103:$J$103)&gt;0,SUM('EstExp 12-20'!$C$103:$J$103),"")</f>
        <v/>
      </c>
      <c r="H11" s="1594"/>
      <c r="I11" s="1592" t="str">
        <f t="shared" si="1"/>
        <v>OK</v>
      </c>
    </row>
    <row r="12" spans="1:9" ht="15" x14ac:dyDescent="0.2">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5" x14ac:dyDescent="0.2">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5" x14ac:dyDescent="0.2">
      <c r="A14" s="1592" t="str">
        <f t="shared" si="0"/>
        <v>OK</v>
      </c>
      <c r="B14" s="1589">
        <v>1999</v>
      </c>
      <c r="C14" s="1652" t="str">
        <f>IF(SUM('EstRev 6-11'!$C$109:$K$109)&gt;0,SUM('EstRev 6-11'!$C$109:$K$109),"")</f>
        <v/>
      </c>
      <c r="D14" s="1594"/>
      <c r="E14" s="1591"/>
      <c r="F14" s="1593" t="s">
        <v>854</v>
      </c>
      <c r="G14" s="1652" t="str">
        <f>IF(SUM('EstExp 12-20'!$C$132:$J$132)&gt;0,SUM('EstExp 12-20'!$C$132:$J$132),"")</f>
        <v/>
      </c>
      <c r="H14" s="1594"/>
      <c r="I14" s="1592" t="str">
        <f t="shared" si="1"/>
        <v>OK</v>
      </c>
    </row>
    <row r="15" spans="1:9" ht="15" x14ac:dyDescent="0.2">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5" x14ac:dyDescent="0.2">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5" x14ac:dyDescent="0.2">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5" x14ac:dyDescent="0.2">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5" x14ac:dyDescent="0.2">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5" x14ac:dyDescent="0.2">
      <c r="A20" s="1592" t="str">
        <f t="shared" si="0"/>
        <v>OK</v>
      </c>
      <c r="B20" s="1589">
        <v>3599</v>
      </c>
      <c r="C20" s="1652" t="str">
        <f>IF(SUM('EstRev 6-11'!$C$156:$K$156)&gt;0,SUM('EstRev 6-11'!$C$156:$K$156),"")</f>
        <v/>
      </c>
      <c r="D20" s="1594"/>
      <c r="E20" s="1591"/>
      <c r="F20" s="1593" t="s">
        <v>1969</v>
      </c>
      <c r="G20" s="1652" t="str">
        <f>IF(SUM('EstExp 12-20'!$C$174:$J$174)&gt;0,SUM('EstExp 12-20'!$C$174:$J$174),"")</f>
        <v/>
      </c>
      <c r="H20" s="1594"/>
      <c r="I20" s="1592" t="str">
        <f t="shared" si="1"/>
        <v>OK</v>
      </c>
    </row>
    <row r="21" spans="1:9" ht="15" x14ac:dyDescent="0.2">
      <c r="A21" s="1592" t="str">
        <f t="shared" si="0"/>
        <v>OK</v>
      </c>
      <c r="B21" s="1589">
        <v>3999</v>
      </c>
      <c r="C21" s="1652">
        <f>IF(SUM('EstRev 6-11'!$C$170:$K$170)&gt;0,SUM('EstRev 6-11'!$C$170:$K$170),"")</f>
        <v>800</v>
      </c>
      <c r="D21" s="1689" t="s">
        <v>7244</v>
      </c>
      <c r="E21" s="1591"/>
      <c r="F21" s="1593" t="s">
        <v>859</v>
      </c>
      <c r="G21" s="1652" t="str">
        <f>IF(SUM('EstExp 12-20'!$C$175:$J$175)&gt;0,SUM('EstExp 12-20'!$C$175:$J$175),"")</f>
        <v/>
      </c>
      <c r="H21" s="1594"/>
      <c r="I21" s="1592" t="str">
        <f t="shared" si="1"/>
        <v>OK</v>
      </c>
    </row>
    <row r="22" spans="1:9" ht="15" x14ac:dyDescent="0.2">
      <c r="A22" s="1592" t="str">
        <f t="shared" si="0"/>
        <v>OK</v>
      </c>
      <c r="B22" s="1589">
        <v>4009</v>
      </c>
      <c r="C22" s="1652">
        <f>IF(SUM('EstRev 6-11'!$C$176:$K$176)&gt;0,SUM('EstRev 6-11'!$C$176:$K$176),"")</f>
        <v>37000</v>
      </c>
      <c r="D22" s="1689" t="s">
        <v>7245</v>
      </c>
      <c r="E22" s="1591"/>
      <c r="F22" s="1593" t="s">
        <v>860</v>
      </c>
      <c r="G22" s="1652" t="str">
        <f>IF(SUM('EstExp 12-20'!$C$184:$J$184)&gt;0,SUM('EstExp 12-20'!$C$184:$J$184),"")</f>
        <v/>
      </c>
      <c r="H22" s="1594"/>
      <c r="I22" s="1592" t="str">
        <f t="shared" si="1"/>
        <v>OK</v>
      </c>
    </row>
    <row r="23" spans="1:9" ht="15" x14ac:dyDescent="0.2">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5" x14ac:dyDescent="0.2">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5" x14ac:dyDescent="0.2">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5" x14ac:dyDescent="0.2">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5" x14ac:dyDescent="0.2">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5" x14ac:dyDescent="0.2">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5" x14ac:dyDescent="0.2">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5" x14ac:dyDescent="0.2">
      <c r="A30" s="1592" t="str">
        <f t="shared" si="0"/>
        <v>OK</v>
      </c>
      <c r="B30" s="1589">
        <v>4998</v>
      </c>
      <c r="C30" s="1652">
        <f>IF(SUM('EstRev 6-11'!$C$269:$K$269)&gt;0,SUM('EstRev 6-11'!$C$269:$K$269),"")</f>
        <v>85000</v>
      </c>
      <c r="D30" s="1689" t="s">
        <v>7246</v>
      </c>
      <c r="E30" s="1591"/>
      <c r="F30" s="1593" t="s">
        <v>866</v>
      </c>
      <c r="G30" s="1652" t="str">
        <f>IF(SUM('EstExp 12-20'!$C$257:$J$257)&gt;0,SUM('EstExp 12-20'!$C$257:$J$257),"")</f>
        <v/>
      </c>
      <c r="H30" s="1594"/>
      <c r="I30" s="1592" t="str">
        <f t="shared" si="1"/>
        <v>OK</v>
      </c>
    </row>
    <row r="31" spans="1:9" ht="15" x14ac:dyDescent="0.2">
      <c r="E31" s="1591"/>
      <c r="F31" s="1593" t="s">
        <v>867</v>
      </c>
      <c r="G31" s="1652" t="str">
        <f>IF(SUM('EstExp 12-20'!$C$275:$J$275)&gt;0,SUM('EstExp 12-20'!$C$275:$J$275),"")</f>
        <v/>
      </c>
      <c r="H31" s="1594"/>
      <c r="I31" s="1592" t="str">
        <f t="shared" si="1"/>
        <v>OK</v>
      </c>
    </row>
    <row r="32" spans="1:9" ht="15" x14ac:dyDescent="0.2">
      <c r="E32" s="1591"/>
      <c r="F32" s="1593" t="s">
        <v>868</v>
      </c>
      <c r="G32" s="1652" t="str">
        <f>IF(SUM('EstExp 12-20'!$C$289:$J$289)&gt;0,SUM('EstExp 12-20'!$C$289:$J$289),"")</f>
        <v/>
      </c>
      <c r="H32" s="1594"/>
      <c r="I32" s="1592" t="str">
        <f t="shared" si="1"/>
        <v>OK</v>
      </c>
    </row>
    <row r="33" spans="2:9" ht="15" x14ac:dyDescent="0.2">
      <c r="E33" s="1591"/>
      <c r="F33" s="1593" t="s">
        <v>869</v>
      </c>
      <c r="G33" s="1652" t="str">
        <f>IF(SUM('EstExp 12-20'!$C$299:$J$299)&gt;0,SUM('EstExp 12-20'!$C$299:$J$299),"")</f>
        <v/>
      </c>
      <c r="H33" s="1594"/>
      <c r="I33" s="1592" t="str">
        <f t="shared" si="1"/>
        <v>OK</v>
      </c>
    </row>
    <row r="34" spans="2:9" ht="15" x14ac:dyDescent="0.2">
      <c r="B34" s="1642"/>
      <c r="E34" s="1591"/>
      <c r="F34" s="1593" t="s">
        <v>870</v>
      </c>
      <c r="G34" s="1652" t="str">
        <f>IF(SUM('EstExp 12-20'!$C$306:$J$306)&gt;0,SUM('EstExp 12-20'!$C$306:$J$306),"")</f>
        <v/>
      </c>
      <c r="H34" s="1594"/>
      <c r="I34" s="1592" t="str">
        <f t="shared" si="1"/>
        <v>OK</v>
      </c>
    </row>
    <row r="35" spans="2:9" ht="15" x14ac:dyDescent="0.2">
      <c r="E35" s="1591"/>
      <c r="F35" s="1593" t="s">
        <v>871</v>
      </c>
      <c r="G35" s="1652" t="str">
        <f>IF(SUM('EstExp 12-20'!$C$352:$J$352)&gt;0,SUM('EstExp 12-20'!$C$352:$J$352),"")</f>
        <v/>
      </c>
      <c r="H35" s="1594"/>
      <c r="I35" s="1592" t="str">
        <f t="shared" si="1"/>
        <v>OK</v>
      </c>
    </row>
    <row r="36" spans="2:9" ht="15" x14ac:dyDescent="0.2">
      <c r="E36" s="1591"/>
      <c r="F36" s="1593" t="s">
        <v>872</v>
      </c>
      <c r="G36" s="1652" t="str">
        <f>IF(SUM('EstExp 12-20'!$C$368:$J$368)&gt;0,SUM('EstExp 12-20'!$C$368:$J$368),"")</f>
        <v/>
      </c>
      <c r="H36" s="1594"/>
      <c r="I36" s="1592" t="str">
        <f t="shared" si="1"/>
        <v>OK</v>
      </c>
    </row>
    <row r="37" spans="2:9" ht="15" x14ac:dyDescent="0.2">
      <c r="E37" s="1591"/>
      <c r="F37" s="1593" t="s">
        <v>873</v>
      </c>
      <c r="G37" s="1652" t="str">
        <f>IF(SUM('EstExp 12-20'!$C$386:$J$386)&gt;0,SUM('EstExp 12-20'!$C$386:$J$386),"")</f>
        <v/>
      </c>
      <c r="H37" s="1594"/>
      <c r="I37" s="1592" t="str">
        <f t="shared" si="1"/>
        <v>OK</v>
      </c>
    </row>
    <row r="38" spans="2:9" ht="15" x14ac:dyDescent="0.2">
      <c r="E38" s="1591"/>
      <c r="F38" s="1593" t="s">
        <v>874</v>
      </c>
      <c r="G38" s="1652" t="str">
        <f>IF(SUM('EstExp 12-20'!$C$396:$J$396)&gt;0,SUM('EstExp 12-20'!$C$396:$J$396),"")</f>
        <v/>
      </c>
      <c r="H38" s="1594"/>
      <c r="I38" s="1592" t="str">
        <f t="shared" si="1"/>
        <v>OK</v>
      </c>
    </row>
    <row r="39" spans="2:9" ht="15" x14ac:dyDescent="0.2">
      <c r="E39" s="1591"/>
      <c r="F39" s="1593" t="s">
        <v>875</v>
      </c>
      <c r="G39" s="1652" t="str">
        <f>IF(SUM('EstExp 12-20'!$C$404:$J$404)&gt;0,SUM('EstExp 12-20'!$C$404:$J$404),"")</f>
        <v/>
      </c>
      <c r="H39" s="1594"/>
      <c r="I39" s="1592" t="str">
        <f t="shared" si="1"/>
        <v>OK</v>
      </c>
    </row>
    <row r="40" spans="2:9" ht="15" x14ac:dyDescent="0.2">
      <c r="E40" s="1591"/>
      <c r="F40" s="1593" t="s">
        <v>876</v>
      </c>
      <c r="G40" s="1652" t="str">
        <f>IF(SUM('EstExp 12-20'!$C$412:$J$412)&gt;0,SUM('EstExp 12-20'!$C$412:$J$412),"")</f>
        <v/>
      </c>
      <c r="H40" s="1594"/>
      <c r="I40" s="1592" t="str">
        <f t="shared" si="1"/>
        <v>OK</v>
      </c>
    </row>
    <row r="41" spans="2:9" ht="15" x14ac:dyDescent="0.2">
      <c r="E41" s="1591"/>
      <c r="F41" s="1593" t="s">
        <v>3258</v>
      </c>
      <c r="G41" s="1652" t="str">
        <f>IF(SUM('EstExp 12-20'!$C$414:$J$414)&gt;0,SUM('EstExp 12-20'!$C$414:$J$414),"")</f>
        <v/>
      </c>
      <c r="H41" s="1594"/>
      <c r="I41" s="1592" t="str">
        <f t="shared" si="1"/>
        <v>OK</v>
      </c>
    </row>
    <row r="42" spans="2:9" ht="15" x14ac:dyDescent="0.2">
      <c r="E42" s="1591"/>
      <c r="F42" s="1593" t="s">
        <v>877</v>
      </c>
      <c r="G42" s="1652" t="str">
        <f>IF(SUM('EstExp 12-20'!$C$422:$J$422)&gt;0,SUM('EstExp 12-20'!$C$422:$J$422),"")</f>
        <v/>
      </c>
      <c r="H42" s="1594"/>
      <c r="I42" s="1592" t="str">
        <f t="shared" si="1"/>
        <v>OK</v>
      </c>
    </row>
    <row r="43" spans="2:9" ht="15" x14ac:dyDescent="0.2">
      <c r="E43" s="1591"/>
      <c r="F43" s="1593" t="s">
        <v>1971</v>
      </c>
      <c r="G43" s="1652" t="str">
        <f>IF(SUM('EstExp 12-20'!$C$424:$J$424)&gt;0,SUM('EstExp 12-20'!$C$424:$J$424),"")</f>
        <v/>
      </c>
      <c r="H43" s="1594"/>
      <c r="I43" s="1592" t="str">
        <f t="shared" si="1"/>
        <v>OK</v>
      </c>
    </row>
    <row r="44" spans="2:9" ht="15" x14ac:dyDescent="0.2">
      <c r="E44" s="1591"/>
      <c r="F44" s="1593" t="s">
        <v>1972</v>
      </c>
      <c r="G44" s="1652" t="str">
        <f>IF(SUM('EstExp 12-20'!$C$425:$J$425)&gt;0,SUM('EstExp 12-20'!$C$425:$J$425),"")</f>
        <v/>
      </c>
      <c r="H44" s="1594"/>
      <c r="I44" s="1592" t="str">
        <f t="shared" si="1"/>
        <v>OK</v>
      </c>
    </row>
    <row r="45" spans="2:9" ht="15" x14ac:dyDescent="0.2">
      <c r="E45" s="1591"/>
      <c r="F45" s="1593" t="s">
        <v>878</v>
      </c>
      <c r="G45" s="1652" t="str">
        <f>IF(SUM('EstExp 12-20'!$C$437:$J$437)&gt;0,SUM('EstExp 12-20'!$C$437:$J$437),"")</f>
        <v/>
      </c>
      <c r="H45" s="1594"/>
      <c r="I45" s="1592" t="str">
        <f t="shared" si="1"/>
        <v>OK</v>
      </c>
    </row>
    <row r="46" spans="2:9" ht="15" x14ac:dyDescent="0.2">
      <c r="E46" s="1591"/>
      <c r="F46" s="1593" t="s">
        <v>879</v>
      </c>
      <c r="G46" s="1652" t="str">
        <f>IF(SUM('EstExp 12-20'!$C$442:$J$442)&gt;0,SUM('EstExp 12-20'!$C$442:$J$442),"")</f>
        <v/>
      </c>
      <c r="H46" s="1594"/>
      <c r="I46" s="1592" t="str">
        <f t="shared" si="1"/>
        <v>OK</v>
      </c>
    </row>
    <row r="47" spans="2:9" ht="15" x14ac:dyDescent="0.2">
      <c r="E47" s="1591"/>
      <c r="F47" s="1593" t="s">
        <v>880</v>
      </c>
      <c r="G47" s="1652" t="str">
        <f>IF(SUM('EstExp 12-20'!$C$447:$J$447)&gt;0,SUM('EstExp 12-20'!$C$447:$J$447),"")</f>
        <v/>
      </c>
      <c r="H47" s="1594"/>
      <c r="I47" s="1592" t="str">
        <f t="shared" si="1"/>
        <v>OK</v>
      </c>
    </row>
    <row r="48" spans="2:9" ht="15" x14ac:dyDescent="0.2">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7" t="s">
        <v>788</v>
      </c>
      <c r="C1" s="1768"/>
      <c r="D1" s="1768"/>
      <c r="E1" s="1768"/>
      <c r="F1" s="1768"/>
      <c r="G1" s="1769"/>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5486500</v>
      </c>
      <c r="D3" s="485">
        <f>'BudgetSum 2-4'!D9</f>
        <v>650781</v>
      </c>
      <c r="E3" s="485">
        <f>'BudgetSum 2-4'!F9</f>
        <v>313000</v>
      </c>
      <c r="F3" s="485">
        <f>'BudgetSum 2-4'!I9</f>
        <v>41000</v>
      </c>
      <c r="G3" s="486">
        <f>SUM(C3:F3)</f>
        <v>6491281</v>
      </c>
    </row>
    <row r="4" spans="2:7" s="487" customFormat="1" ht="13.5" thickBot="1" x14ac:dyDescent="0.25">
      <c r="B4" s="484" t="s">
        <v>468</v>
      </c>
      <c r="C4" s="488">
        <f>'BudgetSum 2-4'!C19</f>
        <v>5486500</v>
      </c>
      <c r="D4" s="488">
        <f>'BudgetSum 2-4'!D19</f>
        <v>650781</v>
      </c>
      <c r="E4" s="488">
        <f>'BudgetSum 2-4'!F19</f>
        <v>354000</v>
      </c>
      <c r="F4" s="489"/>
      <c r="G4" s="490">
        <f>SUM(C4:F4)</f>
        <v>6491281</v>
      </c>
    </row>
    <row r="5" spans="2:7" s="487" customFormat="1" ht="14.25" thickTop="1" thickBot="1" x14ac:dyDescent="0.25">
      <c r="B5" s="491" t="s">
        <v>441</v>
      </c>
      <c r="C5" s="492">
        <f>(C3-C4)</f>
        <v>0</v>
      </c>
      <c r="D5" s="492">
        <f>(D3-D4)</f>
        <v>0</v>
      </c>
      <c r="E5" s="492">
        <f>(E3-E4)</f>
        <v>-41000</v>
      </c>
      <c r="F5" s="488">
        <f>(F3-F4)</f>
        <v>41000</v>
      </c>
      <c r="G5" s="493">
        <f>SUM(G3-G4)</f>
        <v>0</v>
      </c>
    </row>
    <row r="6" spans="2:7" s="487" customFormat="1" ht="14.25" thickTop="1" thickBot="1" x14ac:dyDescent="0.25">
      <c r="B6" s="494" t="str">
        <f>"Estimated Fund Balance - June 30, "&amp;'B24'!L2</f>
        <v>Estimated Fund Balance - June 30, 2024</v>
      </c>
      <c r="C6" s="495">
        <f>'BudgetSum 2-4'!C81</f>
        <v>5936882</v>
      </c>
      <c r="D6" s="495">
        <f>'BudgetSum 2-4'!D81</f>
        <v>1109562</v>
      </c>
      <c r="E6" s="495">
        <f>'BudgetSum 2-4'!F81</f>
        <v>448804</v>
      </c>
      <c r="F6" s="495">
        <f>'BudgetSum 2-4'!I81</f>
        <v>497568</v>
      </c>
      <c r="G6" s="493">
        <f>SUM(C6:F6)</f>
        <v>7992816</v>
      </c>
    </row>
    <row r="7" spans="2:7" ht="53.1" customHeight="1" thickTop="1" x14ac:dyDescent="0.2">
      <c r="D7" s="1771" t="str">
        <f>IF(Cover!B3="X", "Deficit Reduction Plan is not required", IF(AND(G5&lt;0,G6&gt;=0,ABS(G5*3)&gt;ABS(G6)),B17,IF(AND(G5&lt;0,G6&gt;0,ABS(G5*3)&lt;=ABS(G6)),B18,IF(AND(G5&lt;0,G6&lt;0),B17,IF(G6=0,B20,B19)))))</f>
        <v>Balanced budget; no Deficit Reduction Plan is required.</v>
      </c>
      <c r="E7" s="1772"/>
      <c r="F7" s="1772"/>
      <c r="G7" s="1773"/>
    </row>
    <row r="8" spans="2:7" ht="10.5" customHeight="1" x14ac:dyDescent="0.2">
      <c r="B8" s="1776" t="str">
        <f>"A deficit reduction plan is required if the local board of education adopts (or amends) the "&amp;'B24'!L2-1&amp;-'B24'!L2</f>
        <v>A deficit reduction plan is required if the local board of education adopts (or amends) the 2023-2024</v>
      </c>
      <c r="C8" s="1776"/>
      <c r="D8" s="1776"/>
      <c r="E8" s="1777" t="s">
        <v>1918</v>
      </c>
      <c r="F8" s="1777"/>
    </row>
    <row r="9" spans="2:7" ht="22.5" customHeight="1" x14ac:dyDescent="0.2">
      <c r="B9" s="1778" t="s">
        <v>1921</v>
      </c>
      <c r="C9" s="1778"/>
      <c r="D9" s="1778"/>
      <c r="E9" s="1778"/>
      <c r="F9" s="1778"/>
    </row>
    <row r="10" spans="2:7" ht="3.75" customHeight="1" x14ac:dyDescent="0.2">
      <c r="B10" s="496"/>
      <c r="C10" s="497"/>
      <c r="D10" s="497"/>
      <c r="E10" s="497"/>
      <c r="F10" s="497"/>
    </row>
    <row r="11" spans="2:7" ht="27.75" customHeight="1" x14ac:dyDescent="0.2">
      <c r="B11" s="1774" t="s">
        <v>698</v>
      </c>
      <c r="C11" s="1775"/>
      <c r="D11" s="1775"/>
      <c r="E11" s="1775"/>
      <c r="F11" s="1775"/>
      <c r="G11" s="498"/>
    </row>
    <row r="12" spans="2:7" ht="3.75" customHeight="1" x14ac:dyDescent="0.2">
      <c r="B12" s="499"/>
      <c r="C12" s="500"/>
      <c r="D12" s="500"/>
      <c r="E12" s="500"/>
      <c r="F12" s="500"/>
      <c r="G12" s="498"/>
    </row>
    <row r="13" spans="2:7" x14ac:dyDescent="0.2">
      <c r="B13" s="1776" t="str">
        <f>"Per School Code (105 ILCS 5/17-1) - If the Deficit AFR Summary Information tab from the "&amp;'B24'!L2-2&amp;"-"&amp;'B24'!L2-1</f>
        <v>Per School Code (105 ILCS 5/17-1) - If the Deficit AFR Summary Information tab from the 2022-2023</v>
      </c>
      <c r="C13" s="1776"/>
      <c r="D13" s="1776"/>
      <c r="E13" s="1776" t="s">
        <v>1919</v>
      </c>
      <c r="F13" s="1776"/>
      <c r="G13" s="498"/>
    </row>
    <row r="14" spans="2:7" ht="26.25" customHeight="1" x14ac:dyDescent="0.2">
      <c r="B14" s="1779" t="s">
        <v>1920</v>
      </c>
      <c r="C14" s="1779"/>
      <c r="D14" s="1779"/>
      <c r="E14" s="1779"/>
      <c r="F14" s="1779"/>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70" t="s">
        <v>1902</v>
      </c>
      <c r="C17" s="1770"/>
      <c r="D17" s="1770"/>
      <c r="E17" s="1770"/>
      <c r="F17" s="1770"/>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2"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zoomScaleNormal="100" workbookViewId="0"/>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80" t="s">
        <v>219</v>
      </c>
      <c r="D1" s="1781"/>
      <c r="E1" s="1781"/>
      <c r="F1" s="1781"/>
      <c r="G1" s="1782"/>
      <c r="H1" s="1300"/>
      <c r="I1" s="1301"/>
      <c r="J1" s="1301"/>
      <c r="K1" s="1301"/>
      <c r="L1" s="1302"/>
      <c r="M1" s="1303"/>
      <c r="N1" s="1303"/>
      <c r="O1" s="1303"/>
      <c r="P1" s="1303"/>
      <c r="Q1" s="1303"/>
      <c r="R1" s="1300"/>
      <c r="S1" s="1301"/>
      <c r="T1" s="1301"/>
      <c r="U1" s="1301"/>
      <c r="V1" s="1302"/>
      <c r="W1" s="1780" t="s">
        <v>451</v>
      </c>
      <c r="X1" s="1781"/>
      <c r="Y1" s="1781"/>
      <c r="Z1" s="1782"/>
    </row>
    <row r="2" spans="1:26" ht="11.25" customHeight="1" x14ac:dyDescent="0.2">
      <c r="A2" s="1304"/>
      <c r="B2" s="1305"/>
      <c r="C2" s="1793" t="s">
        <v>450</v>
      </c>
      <c r="D2" s="1794"/>
      <c r="E2" s="1794"/>
      <c r="F2" s="1794"/>
      <c r="G2" s="1794"/>
      <c r="H2" s="1785" t="s">
        <v>450</v>
      </c>
      <c r="I2" s="1795"/>
      <c r="J2" s="1795"/>
      <c r="K2" s="1795"/>
      <c r="L2" s="1796"/>
      <c r="M2" s="1793" t="s">
        <v>450</v>
      </c>
      <c r="N2" s="1794"/>
      <c r="O2" s="1794"/>
      <c r="P2" s="1794"/>
      <c r="Q2" s="1794"/>
      <c r="R2" s="1785" t="s">
        <v>450</v>
      </c>
      <c r="S2" s="1786"/>
      <c r="T2" s="1786"/>
      <c r="U2" s="1786"/>
      <c r="V2" s="1787"/>
      <c r="W2" s="1797" t="s">
        <v>452</v>
      </c>
      <c r="X2" s="1794"/>
      <c r="Y2" s="1794"/>
      <c r="Z2" s="1798"/>
    </row>
    <row r="3" spans="1:26" ht="13.5" thickBot="1" x14ac:dyDescent="0.25">
      <c r="A3" s="1306" t="str">
        <f>Cover!H14</f>
        <v>32046006026</v>
      </c>
      <c r="B3" s="1307"/>
      <c r="C3" s="1791" t="str">
        <f>"FY"&amp;'B24'!L2-1&amp;-'B24'!L2</f>
        <v>FY2023-2024</v>
      </c>
      <c r="D3" s="1792"/>
      <c r="E3" s="1792"/>
      <c r="F3" s="1792"/>
      <c r="G3" s="1792"/>
      <c r="H3" s="1788" t="str">
        <f>"FY"&amp;'B24'!L2&amp;-'B24'!L2-1</f>
        <v>FY2024-2025</v>
      </c>
      <c r="I3" s="1802"/>
      <c r="J3" s="1802"/>
      <c r="K3" s="1802"/>
      <c r="L3" s="1803"/>
      <c r="M3" s="1801" t="str">
        <f>"FY"&amp;'B24'!L2+1&amp;-'B24'!L2-2</f>
        <v>FY2025-2026</v>
      </c>
      <c r="N3" s="1792"/>
      <c r="O3" s="1792"/>
      <c r="P3" s="1792"/>
      <c r="Q3" s="1792"/>
      <c r="R3" s="1788" t="str">
        <f>"FY"&amp;'B24'!L2+2&amp;-'B24'!L2-3</f>
        <v>FY2026-2027</v>
      </c>
      <c r="S3" s="1789"/>
      <c r="T3" s="1789"/>
      <c r="U3" s="1789"/>
      <c r="V3" s="1790"/>
      <c r="W3" s="1797" t="s">
        <v>450</v>
      </c>
      <c r="X3" s="1794"/>
      <c r="Y3" s="1794"/>
      <c r="Z3" s="1798"/>
    </row>
    <row r="4" spans="1:26" ht="14.1" customHeight="1" thickBot="1" x14ac:dyDescent="0.25">
      <c r="A4" s="1291" t="s">
        <v>464</v>
      </c>
      <c r="B4" s="1292"/>
      <c r="C4" s="1293"/>
      <c r="D4" s="1293"/>
      <c r="E4" s="1293"/>
      <c r="F4" s="1293"/>
      <c r="G4" s="1293"/>
      <c r="H4" s="1294"/>
      <c r="I4" s="1295"/>
      <c r="J4" s="1786"/>
      <c r="K4" s="1786"/>
      <c r="L4" s="1296"/>
      <c r="M4" s="1297"/>
      <c r="N4" s="1297"/>
      <c r="O4" s="1793"/>
      <c r="P4" s="1793"/>
      <c r="Q4" s="1297"/>
      <c r="R4" s="1294"/>
      <c r="S4" s="1295"/>
      <c r="T4" s="1786"/>
      <c r="U4" s="1786"/>
      <c r="V4" s="1296"/>
      <c r="W4" s="1783" t="s">
        <v>484</v>
      </c>
      <c r="X4" s="1784"/>
      <c r="Y4" s="1308"/>
      <c r="Z4" s="1290"/>
    </row>
    <row r="5" spans="1:26" ht="16.5" customHeight="1" x14ac:dyDescent="0.2">
      <c r="A5" s="1275" t="str">
        <f>Cover!H13</f>
        <v>Grant Park CUSD 6</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99" t="s">
        <v>699</v>
      </c>
      <c r="B7" s="1800"/>
      <c r="C7" s="1272">
        <f>'BudgetSum 2-4'!C3</f>
        <v>5936882</v>
      </c>
      <c r="D7" s="1272">
        <f>'BudgetSum 2-4'!D3</f>
        <v>1109562</v>
      </c>
      <c r="E7" s="1272">
        <f>'BudgetSum 2-4'!F3</f>
        <v>489804</v>
      </c>
      <c r="F7" s="1272">
        <f>'BudgetSum 2-4'!I3</f>
        <v>456568</v>
      </c>
      <c r="G7" s="1272">
        <f>SUM(C7:F7)</f>
        <v>7992816</v>
      </c>
      <c r="H7" s="1272">
        <f>C27</f>
        <v>5936882</v>
      </c>
      <c r="I7" s="1272">
        <f>D27</f>
        <v>1109562</v>
      </c>
      <c r="J7" s="1272">
        <f>E27</f>
        <v>448804</v>
      </c>
      <c r="K7" s="1272">
        <f>F27</f>
        <v>497568</v>
      </c>
      <c r="L7" s="1272">
        <f>SUM(H7:K7)</f>
        <v>7992816</v>
      </c>
      <c r="M7" s="1272">
        <f>H27</f>
        <v>5936882</v>
      </c>
      <c r="N7" s="1272">
        <f>I27</f>
        <v>1109562</v>
      </c>
      <c r="O7" s="1272">
        <f>J27</f>
        <v>448804</v>
      </c>
      <c r="P7" s="1272">
        <f>K27</f>
        <v>497568</v>
      </c>
      <c r="Q7" s="1272">
        <f>SUM(M7:P7)</f>
        <v>7992816</v>
      </c>
      <c r="R7" s="1272">
        <f>M27</f>
        <v>5936882</v>
      </c>
      <c r="S7" s="1272">
        <f>N27</f>
        <v>1109562</v>
      </c>
      <c r="T7" s="1272">
        <f>O27</f>
        <v>448804</v>
      </c>
      <c r="U7" s="1272">
        <f>P27</f>
        <v>497568</v>
      </c>
      <c r="V7" s="1272">
        <f>SUM(R7:U7)</f>
        <v>7992816</v>
      </c>
      <c r="W7" s="1272">
        <f>G7</f>
        <v>7992816</v>
      </c>
      <c r="X7" s="1272">
        <f>L7</f>
        <v>7992816</v>
      </c>
      <c r="Y7" s="1272">
        <f>Q7</f>
        <v>7992816</v>
      </c>
      <c r="Z7" s="1272">
        <f>V7</f>
        <v>7992816</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4133500</v>
      </c>
      <c r="D9" s="1259">
        <f>'BudgetSum 2-4'!D5</f>
        <v>650781</v>
      </c>
      <c r="E9" s="1259">
        <f>'BudgetSum 2-4'!F5</f>
        <v>208000</v>
      </c>
      <c r="F9" s="1259">
        <f>'BudgetSum 2-4'!I5</f>
        <v>41000</v>
      </c>
      <c r="G9" s="1259">
        <f>SUM(C9:F9)</f>
        <v>5033281</v>
      </c>
      <c r="H9" s="504"/>
      <c r="I9" s="504"/>
      <c r="J9" s="504"/>
      <c r="K9" s="504"/>
      <c r="L9" s="505">
        <f t="shared" ref="L9:L21" si="0">SUM(H9:K9)</f>
        <v>0</v>
      </c>
      <c r="M9" s="504"/>
      <c r="N9" s="504"/>
      <c r="O9" s="504"/>
      <c r="P9" s="504"/>
      <c r="Q9" s="505">
        <f>SUM(M9:P9)</f>
        <v>0</v>
      </c>
      <c r="R9" s="504"/>
      <c r="S9" s="504"/>
      <c r="T9" s="504"/>
      <c r="U9" s="504"/>
      <c r="V9" s="505">
        <f>SUM(R9:U9)</f>
        <v>0</v>
      </c>
      <c r="W9" s="505">
        <f>G9</f>
        <v>5033281</v>
      </c>
      <c r="X9" s="505">
        <f>L9</f>
        <v>0</v>
      </c>
      <c r="Y9" s="505">
        <f>Q9</f>
        <v>0</v>
      </c>
      <c r="Z9" s="505">
        <f>V9</f>
        <v>0</v>
      </c>
    </row>
    <row r="10" spans="1:26" ht="27" customHeight="1" x14ac:dyDescent="0.2">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2">
      <c r="A11" s="1266" t="s">
        <v>447</v>
      </c>
      <c r="B11" s="1267">
        <v>3000</v>
      </c>
      <c r="C11" s="505">
        <f>'BudgetSum 2-4'!C7</f>
        <v>885300</v>
      </c>
      <c r="D11" s="505">
        <f>'BudgetSum 2-4'!D7</f>
        <v>0</v>
      </c>
      <c r="E11" s="505">
        <f>'BudgetSum 2-4'!F7</f>
        <v>105000</v>
      </c>
      <c r="F11" s="505">
        <f>'BudgetSum 2-4'!I7</f>
        <v>0</v>
      </c>
      <c r="G11" s="505">
        <f>SUM(C11:F11)</f>
        <v>990300</v>
      </c>
      <c r="H11" s="504"/>
      <c r="I11" s="504"/>
      <c r="J11" s="504"/>
      <c r="K11" s="504"/>
      <c r="L11" s="505">
        <f t="shared" si="0"/>
        <v>0</v>
      </c>
      <c r="M11" s="504"/>
      <c r="N11" s="504"/>
      <c r="O11" s="504"/>
      <c r="P11" s="504"/>
      <c r="Q11" s="505">
        <f>SUM(M11:P11)</f>
        <v>0</v>
      </c>
      <c r="R11" s="504"/>
      <c r="S11" s="504"/>
      <c r="T11" s="504"/>
      <c r="U11" s="504"/>
      <c r="V11" s="505">
        <f>SUM(R11:U11)</f>
        <v>0</v>
      </c>
      <c r="W11" s="505">
        <f>G11</f>
        <v>990300</v>
      </c>
      <c r="X11" s="505">
        <f>L11</f>
        <v>0</v>
      </c>
      <c r="Y11" s="505">
        <f>Q11</f>
        <v>0</v>
      </c>
      <c r="Z11" s="505">
        <f>V11</f>
        <v>0</v>
      </c>
    </row>
    <row r="12" spans="1:26" ht="15.75" customHeight="1" x14ac:dyDescent="0.2">
      <c r="A12" s="1266" t="s">
        <v>448</v>
      </c>
      <c r="B12" s="1267">
        <v>4000</v>
      </c>
      <c r="C12" s="1274">
        <f>'BudgetSum 2-4'!C8</f>
        <v>467700</v>
      </c>
      <c r="D12" s="1274">
        <f>'BudgetSum 2-4'!D8</f>
        <v>0</v>
      </c>
      <c r="E12" s="1274">
        <f>'BudgetSum 2-4'!F8</f>
        <v>0</v>
      </c>
      <c r="F12" s="1274">
        <f>'BudgetSum 2-4'!I8</f>
        <v>0</v>
      </c>
      <c r="G12" s="1274">
        <f>SUM(C12:F12)</f>
        <v>467700</v>
      </c>
      <c r="H12" s="504"/>
      <c r="I12" s="504"/>
      <c r="J12" s="504"/>
      <c r="K12" s="504"/>
      <c r="L12" s="505">
        <f t="shared" si="0"/>
        <v>0</v>
      </c>
      <c r="M12" s="504"/>
      <c r="N12" s="504"/>
      <c r="O12" s="504"/>
      <c r="P12" s="504"/>
      <c r="Q12" s="505">
        <f>SUM(M12:P12)</f>
        <v>0</v>
      </c>
      <c r="R12" s="504"/>
      <c r="S12" s="504"/>
      <c r="T12" s="504"/>
      <c r="U12" s="504"/>
      <c r="V12" s="505">
        <f>SUM(R12:U12)</f>
        <v>0</v>
      </c>
      <c r="W12" s="505">
        <f>G12</f>
        <v>467700</v>
      </c>
      <c r="X12" s="505">
        <f>L12</f>
        <v>0</v>
      </c>
      <c r="Y12" s="505">
        <f>Q12</f>
        <v>0</v>
      </c>
      <c r="Z12" s="505">
        <f>V12</f>
        <v>0</v>
      </c>
    </row>
    <row r="13" spans="1:26" ht="13.5" thickBot="1" x14ac:dyDescent="0.25">
      <c r="A13" s="1808" t="s">
        <v>446</v>
      </c>
      <c r="B13" s="1809"/>
      <c r="C13" s="507">
        <f>SUM(C9:C12)</f>
        <v>5486500</v>
      </c>
      <c r="D13" s="507">
        <f>SUM(D9:D12)</f>
        <v>650781</v>
      </c>
      <c r="E13" s="507">
        <f>SUM(E9:E12)</f>
        <v>313000</v>
      </c>
      <c r="F13" s="507">
        <f>SUM(F9:F12)</f>
        <v>41000</v>
      </c>
      <c r="G13" s="507">
        <f>SUM(C13:F13)</f>
        <v>6491281</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6491281</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3191350</v>
      </c>
      <c r="D15" s="1260"/>
      <c r="E15" s="1260"/>
      <c r="F15" s="1260"/>
      <c r="G15" s="505">
        <f t="shared" ref="G15:G21" si="1">SUM(C15:F15)</f>
        <v>3191350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3191350</v>
      </c>
      <c r="X15" s="505">
        <f t="shared" ref="X15:X22" si="5">L15</f>
        <v>0</v>
      </c>
      <c r="Y15" s="505">
        <f t="shared" ref="Y15:Y22" si="6">Q15</f>
        <v>0</v>
      </c>
      <c r="Z15" s="505">
        <f t="shared" ref="Z15:Z22" si="7">V15</f>
        <v>0</v>
      </c>
    </row>
    <row r="16" spans="1:26" ht="15.75" customHeight="1" x14ac:dyDescent="0.2">
      <c r="A16" s="1266" t="s">
        <v>129</v>
      </c>
      <c r="B16" s="1267">
        <v>2000</v>
      </c>
      <c r="C16" s="505">
        <f>'BudgetSum 2-4'!C14</f>
        <v>1542350</v>
      </c>
      <c r="D16" s="505">
        <f>'BudgetSum 2-4'!D14</f>
        <v>650781</v>
      </c>
      <c r="E16" s="505">
        <f>'BudgetSum 2-4'!F14</f>
        <v>354000</v>
      </c>
      <c r="F16" s="1260"/>
      <c r="G16" s="505">
        <f t="shared" si="1"/>
        <v>2547131</v>
      </c>
      <c r="H16" s="504"/>
      <c r="I16" s="504"/>
      <c r="J16" s="504"/>
      <c r="K16" s="1260"/>
      <c r="L16" s="505">
        <f t="shared" si="0"/>
        <v>0</v>
      </c>
      <c r="M16" s="504"/>
      <c r="N16" s="504"/>
      <c r="O16" s="504"/>
      <c r="P16" s="1260"/>
      <c r="Q16" s="505">
        <f t="shared" si="2"/>
        <v>0</v>
      </c>
      <c r="R16" s="504"/>
      <c r="S16" s="504"/>
      <c r="T16" s="504"/>
      <c r="U16" s="1261"/>
      <c r="V16" s="505">
        <f t="shared" si="3"/>
        <v>0</v>
      </c>
      <c r="W16" s="505">
        <f t="shared" si="4"/>
        <v>2547131</v>
      </c>
      <c r="X16" s="505">
        <f t="shared" si="5"/>
        <v>0</v>
      </c>
      <c r="Y16" s="505">
        <f t="shared" si="6"/>
        <v>0</v>
      </c>
      <c r="Z16" s="505">
        <f t="shared" si="7"/>
        <v>0</v>
      </c>
    </row>
    <row r="17" spans="1:26" ht="15.75" customHeight="1" x14ac:dyDescent="0.2">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x14ac:dyDescent="0.2">
      <c r="A18" s="1266" t="s">
        <v>379</v>
      </c>
      <c r="B18" s="1267">
        <v>4000</v>
      </c>
      <c r="C18" s="505">
        <f>'BudgetSum 2-4'!C16</f>
        <v>752800</v>
      </c>
      <c r="D18" s="505">
        <f>'BudgetSum 2-4'!D16</f>
        <v>0</v>
      </c>
      <c r="E18" s="505">
        <f>'BudgetSum 2-4'!F16</f>
        <v>0</v>
      </c>
      <c r="F18" s="1260"/>
      <c r="G18" s="505">
        <f t="shared" si="1"/>
        <v>752800</v>
      </c>
      <c r="H18" s="504"/>
      <c r="I18" s="504"/>
      <c r="J18" s="504"/>
      <c r="K18" s="1260"/>
      <c r="L18" s="505">
        <f t="shared" si="0"/>
        <v>0</v>
      </c>
      <c r="M18" s="504"/>
      <c r="N18" s="504"/>
      <c r="O18" s="504"/>
      <c r="P18" s="1260"/>
      <c r="Q18" s="505">
        <f t="shared" si="2"/>
        <v>0</v>
      </c>
      <c r="R18" s="504"/>
      <c r="S18" s="504"/>
      <c r="T18" s="504"/>
      <c r="U18" s="1261"/>
      <c r="V18" s="505">
        <f t="shared" si="3"/>
        <v>0</v>
      </c>
      <c r="W18" s="505">
        <f t="shared" si="4"/>
        <v>752800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808" t="s">
        <v>357</v>
      </c>
      <c r="B21" s="1809"/>
      <c r="C21" s="1259">
        <f>SUM(C15:C20)</f>
        <v>5486500</v>
      </c>
      <c r="D21" s="1259">
        <f>SUM(D15:D20)</f>
        <v>650781</v>
      </c>
      <c r="E21" s="1259">
        <f>SUM(E15:E20)</f>
        <v>354000</v>
      </c>
      <c r="F21" s="1260"/>
      <c r="G21" s="1259">
        <f t="shared" si="1"/>
        <v>6491281</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6491281</v>
      </c>
      <c r="X21" s="507">
        <f t="shared" si="5"/>
        <v>0</v>
      </c>
      <c r="Y21" s="507">
        <f t="shared" si="6"/>
        <v>0</v>
      </c>
      <c r="Z21" s="507">
        <f t="shared" si="7"/>
        <v>0</v>
      </c>
    </row>
    <row r="22" spans="1:26" ht="14.25" thickTop="1" thickBot="1" x14ac:dyDescent="0.25">
      <c r="A22" s="1810" t="s">
        <v>472</v>
      </c>
      <c r="B22" s="1811"/>
      <c r="C22" s="1252">
        <f>SUM(C13-C21)</f>
        <v>0</v>
      </c>
      <c r="D22" s="1252">
        <f>SUM(D13-D21)</f>
        <v>0</v>
      </c>
      <c r="E22" s="1252">
        <f>SUM(E13-E21)</f>
        <v>-41000</v>
      </c>
      <c r="F22" s="1262">
        <f>SUM(F13-F21)</f>
        <v>41000</v>
      </c>
      <c r="G22" s="1252">
        <f>G13-G21</f>
        <v>0</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0</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804" t="s">
        <v>237</v>
      </c>
      <c r="B26" s="1805"/>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806" t="s">
        <v>383</v>
      </c>
      <c r="B27" s="1807"/>
      <c r="C27" s="1253">
        <f>C7+C22+C26</f>
        <v>5936882</v>
      </c>
      <c r="D27" s="1253">
        <f t="shared" ref="D27:U27" si="10">D7+D22+D26</f>
        <v>1109562</v>
      </c>
      <c r="E27" s="1253">
        <f t="shared" si="10"/>
        <v>448804</v>
      </c>
      <c r="F27" s="1253">
        <f t="shared" si="10"/>
        <v>497568</v>
      </c>
      <c r="G27" s="1253">
        <f t="shared" si="10"/>
        <v>7992816</v>
      </c>
      <c r="H27" s="1253">
        <f t="shared" si="10"/>
        <v>5936882</v>
      </c>
      <c r="I27" s="1253">
        <f t="shared" si="10"/>
        <v>1109562</v>
      </c>
      <c r="J27" s="1253">
        <f t="shared" si="10"/>
        <v>448804</v>
      </c>
      <c r="K27" s="1253">
        <f t="shared" si="10"/>
        <v>497568</v>
      </c>
      <c r="L27" s="1254">
        <f>SUM(H27:K27)</f>
        <v>7992816</v>
      </c>
      <c r="M27" s="1253">
        <f t="shared" si="10"/>
        <v>5936882</v>
      </c>
      <c r="N27" s="1253">
        <f t="shared" si="10"/>
        <v>1109562</v>
      </c>
      <c r="O27" s="1253">
        <f t="shared" si="10"/>
        <v>448804</v>
      </c>
      <c r="P27" s="1253">
        <f t="shared" si="10"/>
        <v>497568</v>
      </c>
      <c r="Q27" s="1253">
        <f t="shared" si="10"/>
        <v>7992816</v>
      </c>
      <c r="R27" s="1253">
        <f t="shared" si="10"/>
        <v>5936882</v>
      </c>
      <c r="S27" s="1253">
        <f t="shared" si="10"/>
        <v>1109562</v>
      </c>
      <c r="T27" s="1253">
        <f t="shared" si="10"/>
        <v>448804</v>
      </c>
      <c r="U27" s="1253">
        <f t="shared" si="10"/>
        <v>497568</v>
      </c>
      <c r="V27" s="1253">
        <f>V7+V22+V26</f>
        <v>7992816</v>
      </c>
      <c r="W27" s="1253">
        <f>G27</f>
        <v>7992816</v>
      </c>
      <c r="X27" s="1253">
        <f>L27</f>
        <v>7992816</v>
      </c>
      <c r="Y27" s="1253">
        <f>Q27</f>
        <v>7992816</v>
      </c>
      <c r="Z27" s="1253">
        <f>V27</f>
        <v>7992816</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2" type="noConversion"/>
  <printOptions headings="1"/>
  <pageMargins left="0.25" right="0.25" top="0.5" bottom="0.5" header="0.25" footer="0.25"/>
  <pageSetup firstPageNumber="23" fitToWidth="5" orientation="landscape"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Grant Park CUSD 6              32046006026</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2"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A3973-0D21-41F9-8327-DAE4F40CA24E}">
  <ds:schemaRefs>
    <ds:schemaRef ds:uri="http://purl.org/dc/terms/"/>
    <ds:schemaRef ds:uri="4d435f69-8686-490b-bd6d-b153bf22ab50"/>
    <ds:schemaRef ds:uri="http://schemas.microsoft.com/office/2006/metadata/properties"/>
    <ds:schemaRef ds:uri="http://purl.org/dc/elements/1.1/"/>
    <ds:schemaRef ds:uri="http://schemas.microsoft.com/office/2006/documentManagement/types"/>
    <ds:schemaRef ds:uri="6ce3111e-7420-4802-b50a-75d4e9a0b980"/>
    <ds:schemaRef ds:uri="http://schemas.openxmlformats.org/package/2006/metadata/core-properties"/>
    <ds:schemaRef ds:uri="http://schemas.microsoft.com/office/infopath/2007/PartnerControls"/>
    <ds:schemaRef ds:uri="http://purl.org/dc/dcmitype/"/>
    <ds:schemaRef ds:uri="d21dc803-237d-4c68-8692-8d731fd29118"/>
    <ds:schemaRef ds:uri="http://schemas.microsoft.com/sharepoint/v3"/>
    <ds:schemaRef ds:uri="http://www.w3.org/XML/1998/namespace"/>
  </ds:schemaRefs>
</ds:datastoreItem>
</file>

<file path=customXml/itemProps2.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Dillman, Andy</cp:lastModifiedBy>
  <cp:lastPrinted>2023-09-21T15:13:11Z</cp:lastPrinted>
  <dcterms:created xsi:type="dcterms:W3CDTF">2001-01-31T16:14:51Z</dcterms:created>
  <dcterms:modified xsi:type="dcterms:W3CDTF">2023-10-03T18:07:27Z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